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williamrobert/Documents/Products/GHG/"/>
    </mc:Choice>
  </mc:AlternateContent>
  <xr:revisionPtr revIDLastSave="0" documentId="8_{B4506B4C-D83D-F942-B7DE-D4F038B162A4}" xr6:coauthVersionLast="47" xr6:coauthVersionMax="47" xr10:uidLastSave="{00000000-0000-0000-0000-000000000000}"/>
  <bookViews>
    <workbookView xWindow="0" yWindow="960" windowWidth="26880" windowHeight="15060" xr2:uid="{983F6633-27B4-594F-AF3C-4E388E85E449}"/>
  </bookViews>
  <sheets>
    <sheet name="Summary" sheetId="3" r:id="rId1"/>
    <sheet name="Sensitivity" sheetId="5" r:id="rId2"/>
    <sheet name="Trends" sheetId="6" r:id="rId3"/>
  </sheets>
  <externalReferences>
    <externalReference r:id="rId4"/>
    <externalReference r:id="rId5"/>
  </externalReferences>
  <definedNames>
    <definedName name="_VR1">#REF!</definedName>
    <definedName name="_VR2">#REF!</definedName>
    <definedName name="AACost">'[1]Asset Parameters'!$EN:$JC</definedName>
    <definedName name="ACostPerGallon">'[1]Budgets and Parameters'!$AC$12</definedName>
    <definedName name="ACostPerKWH">'[1]Budgets and Parameters'!$AC$13</definedName>
    <definedName name="AnnMiles">'[1]Asset Parameters'!$JH:$JH</definedName>
    <definedName name="AssetTypeCode">'[1]Asset Parameters'!$B:$B</definedName>
    <definedName name="CodeList">#REF!</definedName>
    <definedName name="CoefC0">'[1]Asset Parameters'!$T:$T</definedName>
    <definedName name="CoefC1">'[1]Asset Parameters'!$U:$U</definedName>
    <definedName name="CoefD0">'[1]Asset Parameters'!$P:$P</definedName>
    <definedName name="CoefD1">'[1]Asset Parameters'!$Q:$Q</definedName>
    <definedName name="CoefE0">'[1]Asset Parameters'!$JJ:$JJ</definedName>
    <definedName name="CoefE1">'[1]Asset Parameters'!$JK:$JK</definedName>
    <definedName name="CoefP0">'[1]Asset Parameters'!$R:$R</definedName>
    <definedName name="CoefP1">'[1]Asset Parameters'!$S:$S</definedName>
    <definedName name="CoefX0">'[1]Asset Parameters'!$V:$V</definedName>
    <definedName name="CoefX1">'[1]Asset Parameters'!$W:$W</definedName>
    <definedName name="CostPerPaxHour">'[1]Budgets and Parameters'!$AC$8</definedName>
    <definedName name="CostPerTon">'[1]Budgets and Parameters'!$AC$9</definedName>
    <definedName name="DefaultAssets">'[1]Default Assets'!$A:$A</definedName>
    <definedName name="DefaultProb2">'[1]Default Assets'!$H:$H</definedName>
    <definedName name="DefaultProb3">'[1]Default Assets'!$G:$G</definedName>
    <definedName name="DefaultProb4">'[1]Default Assets'!$F:$F</definedName>
    <definedName name="DefaultProb5">'[1]Default Assets'!$E:$E</definedName>
    <definedName name="DefaultRepCost">'[1]Default Assets'!$R:$R</definedName>
    <definedName name="DefaultTERM0">'[1]Default Assets'!$Q:$Q</definedName>
    <definedName name="DefaultTERM1">'[1]Default Assets'!$L:$L</definedName>
    <definedName name="DiscountRate">'[1]Budgets and Parameters'!$AC$7</definedName>
    <definedName name="FailPerDH">'[1]Asset Parameters'!$JG:$JG</definedName>
    <definedName name="FirstBudgetYear">'[1]Budgets and Parameters'!$AC$4</definedName>
    <definedName name="MAX_SPEED">#REF!</definedName>
    <definedName name="ModelType">'[1]Asset Parameters'!$JI:$JI</definedName>
    <definedName name="NPV">'[1]Asset Parameters'!$X:$EM</definedName>
    <definedName name="OPCWeight">'[1]Budgets and Parameters'!$AC$14</definedName>
    <definedName name="OXCWeight">'[1]Budgets and Parameters'!$AC$15</definedName>
    <definedName name="PIIncrement">'[1]Asset Parameters'!$JD:$JD</definedName>
    <definedName name="PIThreshold">'[1]Budgets and Parameters'!$AC$6</definedName>
    <definedName name="PSRB">#REF!</definedName>
    <definedName name="RCAgency">'[1]Asset Parameters'!$D:$D</definedName>
    <definedName name="RCCO2">'[1]Asset Parameters'!$G:$G</definedName>
    <definedName name="RCDelay">'[1]Asset Parameters'!$E:$E</definedName>
    <definedName name="RCOthExt">'[1]Asset Parameters'!$H:$H</definedName>
    <definedName name="RCOthPax">'[1]Asset Parameters'!$F:$F</definedName>
    <definedName name="ReplacementAssetTypeCode">'[1]Asset Parameters'!$C:$C</definedName>
    <definedName name="Scale">'[1]Asset Parameters'!$J:$J</definedName>
    <definedName name="Shape">'[1]Asset Parameters'!$I:$I</definedName>
    <definedName name="TERM0">'[1]Asset Parameters'!$JE:$JE</definedName>
    <definedName name="TERM1">'[1]Asset Parameters'!$JF:$JF</definedName>
    <definedName name="TonsPerGallon">'[2]Budgets and Parameters'!$AC$10</definedName>
    <definedName name="TonsPerKWH">'[1]Budgets and Parameters'!$AC$11</definedName>
    <definedName name="VehicleAssets">'[1]Default Assets'!$A$144:$A$150</definedName>
    <definedName name="VRSLOP">#REF!</definedName>
    <definedName name="WEICO2">'[1]Asset Parameters'!$N:$N</definedName>
    <definedName name="WeiDelay">'[1]Asset Parameters'!$L:$L</definedName>
    <definedName name="WeiOthExt">'[1]Asset Parameters'!$O:$O</definedName>
    <definedName name="WeiOthPax">'[1]Asset Parameters'!$M:$M</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33" i="3" l="1"/>
  <c r="E132" i="3"/>
  <c r="E131" i="3"/>
  <c r="E130" i="3"/>
  <c r="E129" i="3"/>
  <c r="E128" i="3"/>
  <c r="E127" i="3"/>
  <c r="E126" i="3"/>
  <c r="C2" i="6"/>
  <c r="C2" i="5"/>
  <c r="V3" i="6"/>
  <c r="K3" i="5"/>
  <c r="E39" i="3"/>
  <c r="BG39" i="3"/>
  <c r="BF39" i="3"/>
  <c r="P13" i="6" l="1"/>
  <c r="F13" i="6"/>
  <c r="O13" i="6"/>
  <c r="E13" i="6"/>
  <c r="E15" i="6" s="1"/>
  <c r="BF91" i="6"/>
  <c r="BQ91" i="6" s="1"/>
  <c r="BE91" i="6"/>
  <c r="BP91" i="6" s="1"/>
  <c r="BD91" i="6"/>
  <c r="BO91" i="6" s="1"/>
  <c r="BC91" i="6"/>
  <c r="BN91" i="6" s="1"/>
  <c r="BB91" i="6"/>
  <c r="BM91" i="6" s="1"/>
  <c r="BA91" i="6"/>
  <c r="BL91" i="6" s="1"/>
  <c r="AZ91" i="6"/>
  <c r="BK91" i="6" s="1"/>
  <c r="AY91" i="6"/>
  <c r="BJ91" i="6" s="1"/>
  <c r="AX91" i="6"/>
  <c r="BI91" i="6" s="1"/>
  <c r="AW91" i="6"/>
  <c r="BH91" i="6" s="1"/>
  <c r="AV91" i="6"/>
  <c r="BF90" i="6"/>
  <c r="BQ90" i="6" s="1"/>
  <c r="BE90" i="6"/>
  <c r="BP90" i="6" s="1"/>
  <c r="BD90" i="6"/>
  <c r="BO90" i="6" s="1"/>
  <c r="BC90" i="6"/>
  <c r="BN90" i="6" s="1"/>
  <c r="BB90" i="6"/>
  <c r="BM90" i="6" s="1"/>
  <c r="BA90" i="6"/>
  <c r="BL90" i="6" s="1"/>
  <c r="AZ90" i="6"/>
  <c r="BK90" i="6" s="1"/>
  <c r="AY90" i="6"/>
  <c r="BJ90" i="6" s="1"/>
  <c r="AX90" i="6"/>
  <c r="BI90" i="6" s="1"/>
  <c r="AW90" i="6"/>
  <c r="BH90" i="6" s="1"/>
  <c r="AV90" i="6"/>
  <c r="BF89" i="6"/>
  <c r="BQ89" i="6" s="1"/>
  <c r="BE89" i="6"/>
  <c r="BP89" i="6" s="1"/>
  <c r="BD89" i="6"/>
  <c r="BO89" i="6" s="1"/>
  <c r="BC89" i="6"/>
  <c r="BN89" i="6" s="1"/>
  <c r="BB89" i="6"/>
  <c r="BM89" i="6" s="1"/>
  <c r="BA89" i="6"/>
  <c r="BL89" i="6" s="1"/>
  <c r="AZ89" i="6"/>
  <c r="BK89" i="6" s="1"/>
  <c r="AY89" i="6"/>
  <c r="BJ89" i="6" s="1"/>
  <c r="AX89" i="6"/>
  <c r="BI89" i="6" s="1"/>
  <c r="AW89" i="6"/>
  <c r="BH89" i="6" s="1"/>
  <c r="AV89" i="6"/>
  <c r="BF88" i="6"/>
  <c r="BQ88" i="6" s="1"/>
  <c r="BE88" i="6"/>
  <c r="BP88" i="6" s="1"/>
  <c r="BD88" i="6"/>
  <c r="BO88" i="6" s="1"/>
  <c r="BC88" i="6"/>
  <c r="BN88" i="6" s="1"/>
  <c r="BB88" i="6"/>
  <c r="BM88" i="6" s="1"/>
  <c r="BA88" i="6"/>
  <c r="BL88" i="6" s="1"/>
  <c r="AZ88" i="6"/>
  <c r="BK88" i="6" s="1"/>
  <c r="AY88" i="6"/>
  <c r="BJ88" i="6" s="1"/>
  <c r="AX88" i="6"/>
  <c r="BI88" i="6" s="1"/>
  <c r="AW88" i="6"/>
  <c r="BH88" i="6" s="1"/>
  <c r="AV88" i="6"/>
  <c r="BF87" i="6"/>
  <c r="BQ87" i="6" s="1"/>
  <c r="BE87" i="6"/>
  <c r="BP87" i="6" s="1"/>
  <c r="BD87" i="6"/>
  <c r="BO87" i="6" s="1"/>
  <c r="BC87" i="6"/>
  <c r="BN87" i="6" s="1"/>
  <c r="BB87" i="6"/>
  <c r="BM87" i="6" s="1"/>
  <c r="BA87" i="6"/>
  <c r="BL87" i="6" s="1"/>
  <c r="AZ87" i="6"/>
  <c r="BK87" i="6" s="1"/>
  <c r="AY87" i="6"/>
  <c r="BJ87" i="6" s="1"/>
  <c r="AX87" i="6"/>
  <c r="BI87" i="6" s="1"/>
  <c r="AW87" i="6"/>
  <c r="BH87" i="6" s="1"/>
  <c r="AV87" i="6"/>
  <c r="BF86" i="6"/>
  <c r="BQ86" i="6" s="1"/>
  <c r="BE86" i="6"/>
  <c r="BP86" i="6" s="1"/>
  <c r="BD86" i="6"/>
  <c r="BO86" i="6" s="1"/>
  <c r="BC86" i="6"/>
  <c r="BN86" i="6" s="1"/>
  <c r="BB86" i="6"/>
  <c r="BM86" i="6" s="1"/>
  <c r="BA86" i="6"/>
  <c r="BL86" i="6" s="1"/>
  <c r="AZ86" i="6"/>
  <c r="BK86" i="6" s="1"/>
  <c r="AY86" i="6"/>
  <c r="BJ86" i="6" s="1"/>
  <c r="AX86" i="6"/>
  <c r="BI86" i="6" s="1"/>
  <c r="AW86" i="6"/>
  <c r="BH86" i="6" s="1"/>
  <c r="AV86" i="6"/>
  <c r="BF85" i="6"/>
  <c r="BQ85" i="6" s="1"/>
  <c r="BE85" i="6"/>
  <c r="BP85" i="6" s="1"/>
  <c r="BD85" i="6"/>
  <c r="BO85" i="6" s="1"/>
  <c r="BC85" i="6"/>
  <c r="BN85" i="6" s="1"/>
  <c r="BB85" i="6"/>
  <c r="BM85" i="6" s="1"/>
  <c r="BA85" i="6"/>
  <c r="BL85" i="6" s="1"/>
  <c r="AZ85" i="6"/>
  <c r="BK85" i="6" s="1"/>
  <c r="AY85" i="6"/>
  <c r="BJ85" i="6" s="1"/>
  <c r="AX85" i="6"/>
  <c r="BI85" i="6" s="1"/>
  <c r="AW85" i="6"/>
  <c r="BH85" i="6" s="1"/>
  <c r="AV85" i="6"/>
  <c r="BF84" i="6"/>
  <c r="BQ84" i="6" s="1"/>
  <c r="BE84" i="6"/>
  <c r="BP84" i="6" s="1"/>
  <c r="BD84" i="6"/>
  <c r="BO84" i="6" s="1"/>
  <c r="BC84" i="6"/>
  <c r="BN84" i="6" s="1"/>
  <c r="BB84" i="6"/>
  <c r="BM84" i="6" s="1"/>
  <c r="BA84" i="6"/>
  <c r="BL84" i="6" s="1"/>
  <c r="AZ84" i="6"/>
  <c r="BK84" i="6" s="1"/>
  <c r="AY84" i="6"/>
  <c r="BJ84" i="6" s="1"/>
  <c r="AX84" i="6"/>
  <c r="BI84" i="6" s="1"/>
  <c r="AW84" i="6"/>
  <c r="BH84" i="6" s="1"/>
  <c r="AV84" i="6"/>
  <c r="BF83" i="6"/>
  <c r="BQ83" i="6" s="1"/>
  <c r="BE83" i="6"/>
  <c r="BP83" i="6" s="1"/>
  <c r="BD83" i="6"/>
  <c r="BO83" i="6" s="1"/>
  <c r="BC83" i="6"/>
  <c r="BN83" i="6" s="1"/>
  <c r="BB83" i="6"/>
  <c r="BM83" i="6" s="1"/>
  <c r="BA83" i="6"/>
  <c r="BL83" i="6" s="1"/>
  <c r="AZ83" i="6"/>
  <c r="BK83" i="6" s="1"/>
  <c r="AY83" i="6"/>
  <c r="BJ83" i="6" s="1"/>
  <c r="AX83" i="6"/>
  <c r="BI83" i="6" s="1"/>
  <c r="AW83" i="6"/>
  <c r="BH83" i="6" s="1"/>
  <c r="AV83" i="6"/>
  <c r="BF82" i="6"/>
  <c r="BQ82" i="6" s="1"/>
  <c r="BE82" i="6"/>
  <c r="BP82" i="6" s="1"/>
  <c r="BD82" i="6"/>
  <c r="BO82" i="6" s="1"/>
  <c r="BC82" i="6"/>
  <c r="BN82" i="6" s="1"/>
  <c r="BB82" i="6"/>
  <c r="BM82" i="6" s="1"/>
  <c r="BA82" i="6"/>
  <c r="BL82" i="6" s="1"/>
  <c r="AZ82" i="6"/>
  <c r="BK82" i="6" s="1"/>
  <c r="AY82" i="6"/>
  <c r="BJ82" i="6" s="1"/>
  <c r="AX82" i="6"/>
  <c r="BI82" i="6" s="1"/>
  <c r="AW82" i="6"/>
  <c r="BH82" i="6" s="1"/>
  <c r="AV82" i="6"/>
  <c r="BF81" i="6"/>
  <c r="BQ81" i="6" s="1"/>
  <c r="BE81" i="6"/>
  <c r="BP81" i="6" s="1"/>
  <c r="BD81" i="6"/>
  <c r="BO81" i="6" s="1"/>
  <c r="BC81" i="6"/>
  <c r="BN81" i="6" s="1"/>
  <c r="BB81" i="6"/>
  <c r="BM81" i="6" s="1"/>
  <c r="BA81" i="6"/>
  <c r="BL81" i="6" s="1"/>
  <c r="AZ81" i="6"/>
  <c r="BK81" i="6" s="1"/>
  <c r="AY81" i="6"/>
  <c r="BJ81" i="6" s="1"/>
  <c r="AX81" i="6"/>
  <c r="BI81" i="6" s="1"/>
  <c r="AW81" i="6"/>
  <c r="BH81" i="6" s="1"/>
  <c r="AV81" i="6"/>
  <c r="BF80" i="6"/>
  <c r="BQ80" i="6" s="1"/>
  <c r="BE80" i="6"/>
  <c r="BP80" i="6" s="1"/>
  <c r="BD80" i="6"/>
  <c r="BO80" i="6" s="1"/>
  <c r="BC80" i="6"/>
  <c r="BN80" i="6" s="1"/>
  <c r="BB80" i="6"/>
  <c r="BM80" i="6" s="1"/>
  <c r="BA80" i="6"/>
  <c r="BL80" i="6" s="1"/>
  <c r="AZ80" i="6"/>
  <c r="BK80" i="6" s="1"/>
  <c r="AY80" i="6"/>
  <c r="BJ80" i="6" s="1"/>
  <c r="AX80" i="6"/>
  <c r="BI80" i="6" s="1"/>
  <c r="AW80" i="6"/>
  <c r="BH80" i="6" s="1"/>
  <c r="AV80" i="6"/>
  <c r="BF79" i="6"/>
  <c r="BQ79" i="6" s="1"/>
  <c r="BE79" i="6"/>
  <c r="BP79" i="6" s="1"/>
  <c r="BD79" i="6"/>
  <c r="BO79" i="6" s="1"/>
  <c r="BC79" i="6"/>
  <c r="BN79" i="6" s="1"/>
  <c r="BB79" i="6"/>
  <c r="BM79" i="6" s="1"/>
  <c r="BA79" i="6"/>
  <c r="BL79" i="6" s="1"/>
  <c r="AZ79" i="6"/>
  <c r="BK79" i="6" s="1"/>
  <c r="AY79" i="6"/>
  <c r="BJ79" i="6" s="1"/>
  <c r="AX79" i="6"/>
  <c r="BI79" i="6" s="1"/>
  <c r="AW79" i="6"/>
  <c r="BH79" i="6" s="1"/>
  <c r="AV79" i="6"/>
  <c r="BF78" i="6"/>
  <c r="BQ78" i="6" s="1"/>
  <c r="BE78" i="6"/>
  <c r="BP78" i="6" s="1"/>
  <c r="BD78" i="6"/>
  <c r="BO78" i="6" s="1"/>
  <c r="BC78" i="6"/>
  <c r="BN78" i="6" s="1"/>
  <c r="BB78" i="6"/>
  <c r="BM78" i="6" s="1"/>
  <c r="BA78" i="6"/>
  <c r="BL78" i="6" s="1"/>
  <c r="AZ78" i="6"/>
  <c r="BK78" i="6" s="1"/>
  <c r="AY78" i="6"/>
  <c r="BJ78" i="6" s="1"/>
  <c r="AX78" i="6"/>
  <c r="BI78" i="6" s="1"/>
  <c r="AW78" i="6"/>
  <c r="BH78" i="6" s="1"/>
  <c r="AV78" i="6"/>
  <c r="BF77" i="6"/>
  <c r="BQ77" i="6" s="1"/>
  <c r="BE77" i="6"/>
  <c r="BP77" i="6" s="1"/>
  <c r="BD77" i="6"/>
  <c r="BO77" i="6" s="1"/>
  <c r="BC77" i="6"/>
  <c r="BN77" i="6" s="1"/>
  <c r="BB77" i="6"/>
  <c r="BM77" i="6" s="1"/>
  <c r="BA77" i="6"/>
  <c r="BL77" i="6" s="1"/>
  <c r="AZ77" i="6"/>
  <c r="BK77" i="6" s="1"/>
  <c r="AY77" i="6"/>
  <c r="BJ77" i="6" s="1"/>
  <c r="AX77" i="6"/>
  <c r="BI77" i="6" s="1"/>
  <c r="AW77" i="6"/>
  <c r="BH77" i="6" s="1"/>
  <c r="AV77" i="6"/>
  <c r="BF76" i="6"/>
  <c r="BQ76" i="6" s="1"/>
  <c r="BE76" i="6"/>
  <c r="BP76" i="6" s="1"/>
  <c r="BD76" i="6"/>
  <c r="BO76" i="6" s="1"/>
  <c r="BC76" i="6"/>
  <c r="BN76" i="6" s="1"/>
  <c r="BB76" i="6"/>
  <c r="BM76" i="6" s="1"/>
  <c r="BA76" i="6"/>
  <c r="BL76" i="6" s="1"/>
  <c r="AZ76" i="6"/>
  <c r="BK76" i="6" s="1"/>
  <c r="AY76" i="6"/>
  <c r="BJ76" i="6" s="1"/>
  <c r="AX76" i="6"/>
  <c r="BI76" i="6" s="1"/>
  <c r="AW76" i="6"/>
  <c r="BH76" i="6" s="1"/>
  <c r="AV76" i="6"/>
  <c r="BF75" i="6"/>
  <c r="BQ75" i="6" s="1"/>
  <c r="BE75" i="6"/>
  <c r="BP75" i="6" s="1"/>
  <c r="BD75" i="6"/>
  <c r="BO75" i="6" s="1"/>
  <c r="BC75" i="6"/>
  <c r="BN75" i="6" s="1"/>
  <c r="BB75" i="6"/>
  <c r="BM75" i="6" s="1"/>
  <c r="BA75" i="6"/>
  <c r="BL75" i="6" s="1"/>
  <c r="AZ75" i="6"/>
  <c r="BK75" i="6" s="1"/>
  <c r="AY75" i="6"/>
  <c r="BJ75" i="6" s="1"/>
  <c r="AX75" i="6"/>
  <c r="BI75" i="6" s="1"/>
  <c r="AW75" i="6"/>
  <c r="BH75" i="6" s="1"/>
  <c r="AV75" i="6"/>
  <c r="BF74" i="6"/>
  <c r="BE74" i="6"/>
  <c r="BP74" i="6" s="1"/>
  <c r="BD74" i="6"/>
  <c r="BO74" i="6" s="1"/>
  <c r="BC74" i="6"/>
  <c r="BN74" i="6" s="1"/>
  <c r="BB74" i="6"/>
  <c r="BM74" i="6" s="1"/>
  <c r="BA74" i="6"/>
  <c r="BL74" i="6" s="1"/>
  <c r="AZ74" i="6"/>
  <c r="BK74" i="6" s="1"/>
  <c r="AY74" i="6"/>
  <c r="BJ74" i="6" s="1"/>
  <c r="AX74" i="6"/>
  <c r="BI74" i="6" s="1"/>
  <c r="AW74" i="6"/>
  <c r="BH74" i="6" s="1"/>
  <c r="AV74" i="6"/>
  <c r="BF73" i="6"/>
  <c r="BQ73" i="6" s="1"/>
  <c r="BE73" i="6"/>
  <c r="BP73" i="6" s="1"/>
  <c r="BD73" i="6"/>
  <c r="BO73" i="6" s="1"/>
  <c r="BC73" i="6"/>
  <c r="BN73" i="6" s="1"/>
  <c r="BB73" i="6"/>
  <c r="BM73" i="6" s="1"/>
  <c r="BA73" i="6"/>
  <c r="BL73" i="6" s="1"/>
  <c r="AZ73" i="6"/>
  <c r="BK73" i="6" s="1"/>
  <c r="AY73" i="6"/>
  <c r="BJ73" i="6" s="1"/>
  <c r="AX73" i="6"/>
  <c r="BI73" i="6" s="1"/>
  <c r="AW73" i="6"/>
  <c r="BH73" i="6" s="1"/>
  <c r="AV73" i="6"/>
  <c r="BF72" i="6"/>
  <c r="BQ72" i="6" s="1"/>
  <c r="BE72" i="6"/>
  <c r="BP72" i="6" s="1"/>
  <c r="BD72" i="6"/>
  <c r="BO72" i="6" s="1"/>
  <c r="BC72" i="6"/>
  <c r="BN72" i="6" s="1"/>
  <c r="BB72" i="6"/>
  <c r="BM72" i="6" s="1"/>
  <c r="BA72" i="6"/>
  <c r="BL72" i="6" s="1"/>
  <c r="AZ72" i="6"/>
  <c r="BK72" i="6" s="1"/>
  <c r="AY72" i="6"/>
  <c r="BJ72" i="6" s="1"/>
  <c r="AX72" i="6"/>
  <c r="BI72" i="6" s="1"/>
  <c r="AW72" i="6"/>
  <c r="BH72" i="6" s="1"/>
  <c r="AV72" i="6"/>
  <c r="BF71" i="6"/>
  <c r="BQ71" i="6" s="1"/>
  <c r="BE71" i="6"/>
  <c r="BP71" i="6" s="1"/>
  <c r="BD71" i="6"/>
  <c r="BO71" i="6" s="1"/>
  <c r="BC71" i="6"/>
  <c r="BN71" i="6" s="1"/>
  <c r="BB71" i="6"/>
  <c r="BM71" i="6" s="1"/>
  <c r="BA71" i="6"/>
  <c r="BL71" i="6" s="1"/>
  <c r="AZ71" i="6"/>
  <c r="BK71" i="6" s="1"/>
  <c r="AY71" i="6"/>
  <c r="BJ71" i="6" s="1"/>
  <c r="AX71" i="6"/>
  <c r="BI71" i="6" s="1"/>
  <c r="AW71" i="6"/>
  <c r="BH71" i="6" s="1"/>
  <c r="AV71" i="6"/>
  <c r="BF70" i="6"/>
  <c r="BQ70" i="6" s="1"/>
  <c r="BE70" i="6"/>
  <c r="BP70" i="6" s="1"/>
  <c r="BD70" i="6"/>
  <c r="BO70" i="6" s="1"/>
  <c r="BC70" i="6"/>
  <c r="BN70" i="6" s="1"/>
  <c r="BB70" i="6"/>
  <c r="BM70" i="6" s="1"/>
  <c r="BA70" i="6"/>
  <c r="BL70" i="6" s="1"/>
  <c r="AZ70" i="6"/>
  <c r="BK70" i="6" s="1"/>
  <c r="AY70" i="6"/>
  <c r="BJ70" i="6" s="1"/>
  <c r="AX70" i="6"/>
  <c r="BI70" i="6" s="1"/>
  <c r="AW70" i="6"/>
  <c r="BH70" i="6" s="1"/>
  <c r="AV70" i="6"/>
  <c r="BF69" i="6"/>
  <c r="BQ69" i="6" s="1"/>
  <c r="BE69" i="6"/>
  <c r="BP69" i="6" s="1"/>
  <c r="BD69" i="6"/>
  <c r="BO69" i="6" s="1"/>
  <c r="BC69" i="6"/>
  <c r="BN69" i="6" s="1"/>
  <c r="BB69" i="6"/>
  <c r="BM69" i="6" s="1"/>
  <c r="BA69" i="6"/>
  <c r="BL69" i="6" s="1"/>
  <c r="AZ69" i="6"/>
  <c r="BK69" i="6" s="1"/>
  <c r="AY69" i="6"/>
  <c r="BJ69" i="6" s="1"/>
  <c r="AX69" i="6"/>
  <c r="BI69" i="6" s="1"/>
  <c r="AW69" i="6"/>
  <c r="BH69" i="6" s="1"/>
  <c r="AV69" i="6"/>
  <c r="BF68" i="6"/>
  <c r="BQ68" i="6" s="1"/>
  <c r="BE68" i="6"/>
  <c r="BP68" i="6" s="1"/>
  <c r="BD68" i="6"/>
  <c r="BO68" i="6" s="1"/>
  <c r="BC68" i="6"/>
  <c r="BN68" i="6" s="1"/>
  <c r="BB68" i="6"/>
  <c r="BM68" i="6" s="1"/>
  <c r="BA68" i="6"/>
  <c r="BL68" i="6" s="1"/>
  <c r="AZ68" i="6"/>
  <c r="BK68" i="6" s="1"/>
  <c r="AY68" i="6"/>
  <c r="BJ68" i="6" s="1"/>
  <c r="AX68" i="6"/>
  <c r="BI68" i="6" s="1"/>
  <c r="AW68" i="6"/>
  <c r="BH68" i="6" s="1"/>
  <c r="AV68" i="6"/>
  <c r="BF67" i="6"/>
  <c r="BQ67" i="6" s="1"/>
  <c r="BE67" i="6"/>
  <c r="BP67" i="6" s="1"/>
  <c r="BD67" i="6"/>
  <c r="BO67" i="6" s="1"/>
  <c r="BC67" i="6"/>
  <c r="BN67" i="6" s="1"/>
  <c r="BB67" i="6"/>
  <c r="BM67" i="6" s="1"/>
  <c r="BA67" i="6"/>
  <c r="BL67" i="6" s="1"/>
  <c r="AZ67" i="6"/>
  <c r="BK67" i="6" s="1"/>
  <c r="AY67" i="6"/>
  <c r="BJ67" i="6" s="1"/>
  <c r="AX67" i="6"/>
  <c r="BI67" i="6" s="1"/>
  <c r="AW67" i="6"/>
  <c r="BH67" i="6" s="1"/>
  <c r="AV67" i="6"/>
  <c r="BF66" i="6"/>
  <c r="BQ66" i="6" s="1"/>
  <c r="BE66" i="6"/>
  <c r="BP66" i="6" s="1"/>
  <c r="BD66" i="6"/>
  <c r="BO66" i="6" s="1"/>
  <c r="BC66" i="6"/>
  <c r="BN66" i="6" s="1"/>
  <c r="BB66" i="6"/>
  <c r="BM66" i="6" s="1"/>
  <c r="BA66" i="6"/>
  <c r="BL66" i="6" s="1"/>
  <c r="AZ66" i="6"/>
  <c r="BK66" i="6" s="1"/>
  <c r="AY66" i="6"/>
  <c r="BJ66" i="6" s="1"/>
  <c r="AX66" i="6"/>
  <c r="BI66" i="6" s="1"/>
  <c r="AW66" i="6"/>
  <c r="BH66" i="6" s="1"/>
  <c r="AV66" i="6"/>
  <c r="BF65" i="6"/>
  <c r="BQ65" i="6" s="1"/>
  <c r="BE65" i="6"/>
  <c r="BP65" i="6" s="1"/>
  <c r="BD65" i="6"/>
  <c r="BO65" i="6" s="1"/>
  <c r="BC65" i="6"/>
  <c r="BN65" i="6" s="1"/>
  <c r="BB65" i="6"/>
  <c r="BM65" i="6" s="1"/>
  <c r="BA65" i="6"/>
  <c r="BL65" i="6" s="1"/>
  <c r="AZ65" i="6"/>
  <c r="BK65" i="6" s="1"/>
  <c r="AY65" i="6"/>
  <c r="BJ65" i="6" s="1"/>
  <c r="AX65" i="6"/>
  <c r="BI65" i="6" s="1"/>
  <c r="AW65" i="6"/>
  <c r="BH65" i="6" s="1"/>
  <c r="AV65" i="6"/>
  <c r="BF64" i="6"/>
  <c r="BQ64" i="6" s="1"/>
  <c r="BE64" i="6"/>
  <c r="BP64" i="6" s="1"/>
  <c r="BD64" i="6"/>
  <c r="BO64" i="6" s="1"/>
  <c r="BC64" i="6"/>
  <c r="BN64" i="6" s="1"/>
  <c r="BB64" i="6"/>
  <c r="BM64" i="6" s="1"/>
  <c r="BA64" i="6"/>
  <c r="BL64" i="6" s="1"/>
  <c r="AZ64" i="6"/>
  <c r="BK64" i="6" s="1"/>
  <c r="AY64" i="6"/>
  <c r="BJ64" i="6" s="1"/>
  <c r="AX64" i="6"/>
  <c r="BI64" i="6" s="1"/>
  <c r="AW64" i="6"/>
  <c r="BH64" i="6" s="1"/>
  <c r="AV64" i="6"/>
  <c r="BF63" i="6"/>
  <c r="BQ63" i="6" s="1"/>
  <c r="BE63" i="6"/>
  <c r="BP63" i="6" s="1"/>
  <c r="BD63" i="6"/>
  <c r="BO63" i="6" s="1"/>
  <c r="BC63" i="6"/>
  <c r="BN63" i="6" s="1"/>
  <c r="BB63" i="6"/>
  <c r="BM63" i="6" s="1"/>
  <c r="BA63" i="6"/>
  <c r="BL63" i="6" s="1"/>
  <c r="AZ63" i="6"/>
  <c r="BK63" i="6" s="1"/>
  <c r="AY63" i="6"/>
  <c r="BJ63" i="6" s="1"/>
  <c r="AX63" i="6"/>
  <c r="BI63" i="6" s="1"/>
  <c r="AW63" i="6"/>
  <c r="BH63" i="6" s="1"/>
  <c r="AV63" i="6"/>
  <c r="BF62" i="6"/>
  <c r="BQ62" i="6" s="1"/>
  <c r="BE62" i="6"/>
  <c r="BP62" i="6" s="1"/>
  <c r="BD62" i="6"/>
  <c r="BO62" i="6" s="1"/>
  <c r="BC62" i="6"/>
  <c r="BN62" i="6" s="1"/>
  <c r="BB62" i="6"/>
  <c r="BM62" i="6" s="1"/>
  <c r="BA62" i="6"/>
  <c r="BL62" i="6" s="1"/>
  <c r="AZ62" i="6"/>
  <c r="BK62" i="6" s="1"/>
  <c r="AY62" i="6"/>
  <c r="BJ62" i="6" s="1"/>
  <c r="AX62" i="6"/>
  <c r="BI62" i="6" s="1"/>
  <c r="AW62" i="6"/>
  <c r="BH62" i="6" s="1"/>
  <c r="AV62" i="6"/>
  <c r="BF61" i="6"/>
  <c r="BQ61" i="6" s="1"/>
  <c r="BE61" i="6"/>
  <c r="BP61" i="6" s="1"/>
  <c r="BD61" i="6"/>
  <c r="BO61" i="6" s="1"/>
  <c r="BC61" i="6"/>
  <c r="BN61" i="6" s="1"/>
  <c r="BB61" i="6"/>
  <c r="BM61" i="6" s="1"/>
  <c r="BA61" i="6"/>
  <c r="BL61" i="6" s="1"/>
  <c r="AZ61" i="6"/>
  <c r="BK61" i="6" s="1"/>
  <c r="AY61" i="6"/>
  <c r="BJ61" i="6" s="1"/>
  <c r="AX61" i="6"/>
  <c r="BI61" i="6" s="1"/>
  <c r="AW61" i="6"/>
  <c r="BH61" i="6" s="1"/>
  <c r="AV61" i="6"/>
  <c r="BF60" i="6"/>
  <c r="BQ60" i="6" s="1"/>
  <c r="BE60" i="6"/>
  <c r="BP60" i="6" s="1"/>
  <c r="BD60" i="6"/>
  <c r="BO60" i="6" s="1"/>
  <c r="BC60" i="6"/>
  <c r="BN60" i="6" s="1"/>
  <c r="BB60" i="6"/>
  <c r="BM60" i="6" s="1"/>
  <c r="BA60" i="6"/>
  <c r="BL60" i="6" s="1"/>
  <c r="AZ60" i="6"/>
  <c r="BK60" i="6" s="1"/>
  <c r="AY60" i="6"/>
  <c r="BJ60" i="6" s="1"/>
  <c r="AX60" i="6"/>
  <c r="BI60" i="6" s="1"/>
  <c r="AW60" i="6"/>
  <c r="BH60" i="6" s="1"/>
  <c r="AV60" i="6"/>
  <c r="BF59" i="6"/>
  <c r="BQ59" i="6" s="1"/>
  <c r="BE59" i="6"/>
  <c r="BP59" i="6" s="1"/>
  <c r="BD59" i="6"/>
  <c r="BO59" i="6" s="1"/>
  <c r="BC59" i="6"/>
  <c r="BN59" i="6" s="1"/>
  <c r="BB59" i="6"/>
  <c r="BM59" i="6" s="1"/>
  <c r="BA59" i="6"/>
  <c r="BL59" i="6" s="1"/>
  <c r="AZ59" i="6"/>
  <c r="BK59" i="6" s="1"/>
  <c r="AY59" i="6"/>
  <c r="BJ59" i="6" s="1"/>
  <c r="AX59" i="6"/>
  <c r="BI59" i="6" s="1"/>
  <c r="AW59" i="6"/>
  <c r="BH59" i="6" s="1"/>
  <c r="AV59" i="6"/>
  <c r="BF58" i="6"/>
  <c r="BQ58" i="6" s="1"/>
  <c r="BE58" i="6"/>
  <c r="BP58" i="6" s="1"/>
  <c r="BD58" i="6"/>
  <c r="BO58" i="6" s="1"/>
  <c r="BC58" i="6"/>
  <c r="BN58" i="6" s="1"/>
  <c r="BB58" i="6"/>
  <c r="BM58" i="6" s="1"/>
  <c r="BA58" i="6"/>
  <c r="BL58" i="6" s="1"/>
  <c r="AZ58" i="6"/>
  <c r="BK58" i="6" s="1"/>
  <c r="AY58" i="6"/>
  <c r="BJ58" i="6" s="1"/>
  <c r="AX58" i="6"/>
  <c r="BI58" i="6" s="1"/>
  <c r="AW58" i="6"/>
  <c r="BH58" i="6" s="1"/>
  <c r="AV58" i="6"/>
  <c r="BF57" i="6"/>
  <c r="BQ57" i="6" s="1"/>
  <c r="BE57" i="6"/>
  <c r="BP57" i="6" s="1"/>
  <c r="BD57" i="6"/>
  <c r="BO57" i="6" s="1"/>
  <c r="BC57" i="6"/>
  <c r="BN57" i="6" s="1"/>
  <c r="BB57" i="6"/>
  <c r="BM57" i="6" s="1"/>
  <c r="BA57" i="6"/>
  <c r="BL57" i="6" s="1"/>
  <c r="AZ57" i="6"/>
  <c r="BK57" i="6" s="1"/>
  <c r="AY57" i="6"/>
  <c r="BJ57" i="6" s="1"/>
  <c r="AX57" i="6"/>
  <c r="BI57" i="6" s="1"/>
  <c r="AW57" i="6"/>
  <c r="BH57" i="6" s="1"/>
  <c r="AV57" i="6"/>
  <c r="BF56" i="6"/>
  <c r="BQ56" i="6" s="1"/>
  <c r="BE56" i="6"/>
  <c r="BP56" i="6" s="1"/>
  <c r="BD56" i="6"/>
  <c r="BO56" i="6" s="1"/>
  <c r="BC56" i="6"/>
  <c r="BN56" i="6" s="1"/>
  <c r="BB56" i="6"/>
  <c r="BM56" i="6" s="1"/>
  <c r="BA56" i="6"/>
  <c r="BL56" i="6" s="1"/>
  <c r="AZ56" i="6"/>
  <c r="BK56" i="6" s="1"/>
  <c r="AY56" i="6"/>
  <c r="BJ56" i="6" s="1"/>
  <c r="AX56" i="6"/>
  <c r="BI56" i="6" s="1"/>
  <c r="AW56" i="6"/>
  <c r="BH56" i="6" s="1"/>
  <c r="AV56" i="6"/>
  <c r="BF55" i="6"/>
  <c r="BQ55" i="6" s="1"/>
  <c r="BE55" i="6"/>
  <c r="BP55" i="6" s="1"/>
  <c r="BD55" i="6"/>
  <c r="BO55" i="6" s="1"/>
  <c r="BC55" i="6"/>
  <c r="BN55" i="6" s="1"/>
  <c r="BB55" i="6"/>
  <c r="BM55" i="6" s="1"/>
  <c r="BA55" i="6"/>
  <c r="BL55" i="6" s="1"/>
  <c r="AZ55" i="6"/>
  <c r="BK55" i="6" s="1"/>
  <c r="AY55" i="6"/>
  <c r="BJ55" i="6" s="1"/>
  <c r="AX55" i="6"/>
  <c r="BI55" i="6" s="1"/>
  <c r="AW55" i="6"/>
  <c r="BH55" i="6" s="1"/>
  <c r="AV55" i="6"/>
  <c r="BF54" i="6"/>
  <c r="BQ54" i="6" s="1"/>
  <c r="BE54" i="6"/>
  <c r="BP54" i="6" s="1"/>
  <c r="BD54" i="6"/>
  <c r="BO54" i="6" s="1"/>
  <c r="BC54" i="6"/>
  <c r="BN54" i="6" s="1"/>
  <c r="BB54" i="6"/>
  <c r="BM54" i="6" s="1"/>
  <c r="BA54" i="6"/>
  <c r="BL54" i="6" s="1"/>
  <c r="AZ54" i="6"/>
  <c r="BK54" i="6" s="1"/>
  <c r="AY54" i="6"/>
  <c r="BJ54" i="6" s="1"/>
  <c r="AX54" i="6"/>
  <c r="BI54" i="6" s="1"/>
  <c r="AW54" i="6"/>
  <c r="BH54" i="6" s="1"/>
  <c r="AV54" i="6"/>
  <c r="BF53" i="6"/>
  <c r="BQ53" i="6" s="1"/>
  <c r="BE53" i="6"/>
  <c r="BP53" i="6" s="1"/>
  <c r="BD53" i="6"/>
  <c r="BO53" i="6" s="1"/>
  <c r="BC53" i="6"/>
  <c r="BN53" i="6" s="1"/>
  <c r="BB53" i="6"/>
  <c r="BM53" i="6" s="1"/>
  <c r="BA53" i="6"/>
  <c r="BL53" i="6" s="1"/>
  <c r="AZ53" i="6"/>
  <c r="BK53" i="6" s="1"/>
  <c r="AY53" i="6"/>
  <c r="BJ53" i="6" s="1"/>
  <c r="AX53" i="6"/>
  <c r="BI53" i="6" s="1"/>
  <c r="AW53" i="6"/>
  <c r="BH53" i="6" s="1"/>
  <c r="AV53" i="6"/>
  <c r="BF52" i="6"/>
  <c r="BQ52" i="6" s="1"/>
  <c r="BE52" i="6"/>
  <c r="BP52" i="6" s="1"/>
  <c r="BD52" i="6"/>
  <c r="BO52" i="6" s="1"/>
  <c r="BC52" i="6"/>
  <c r="BN52" i="6" s="1"/>
  <c r="BB52" i="6"/>
  <c r="BM52" i="6" s="1"/>
  <c r="BA52" i="6"/>
  <c r="BL52" i="6" s="1"/>
  <c r="AZ52" i="6"/>
  <c r="BK52" i="6" s="1"/>
  <c r="AY52" i="6"/>
  <c r="BJ52" i="6" s="1"/>
  <c r="AX52" i="6"/>
  <c r="BI52" i="6" s="1"/>
  <c r="AW52" i="6"/>
  <c r="BH52" i="6" s="1"/>
  <c r="AV52" i="6"/>
  <c r="BF51" i="6"/>
  <c r="BQ51" i="6" s="1"/>
  <c r="BE51" i="6"/>
  <c r="BP51" i="6" s="1"/>
  <c r="BD51" i="6"/>
  <c r="BO51" i="6" s="1"/>
  <c r="BC51" i="6"/>
  <c r="BN51" i="6" s="1"/>
  <c r="BB51" i="6"/>
  <c r="BM51" i="6" s="1"/>
  <c r="BA51" i="6"/>
  <c r="BL51" i="6" s="1"/>
  <c r="AZ51" i="6"/>
  <c r="BK51" i="6" s="1"/>
  <c r="AY51" i="6"/>
  <c r="BJ51" i="6" s="1"/>
  <c r="AX51" i="6"/>
  <c r="BI51" i="6" s="1"/>
  <c r="AW51" i="6"/>
  <c r="BH51" i="6" s="1"/>
  <c r="AV51" i="6"/>
  <c r="BF50" i="6"/>
  <c r="BQ50" i="6" s="1"/>
  <c r="BE50" i="6"/>
  <c r="BP50" i="6" s="1"/>
  <c r="BD50" i="6"/>
  <c r="BO50" i="6" s="1"/>
  <c r="BC50" i="6"/>
  <c r="BN50" i="6" s="1"/>
  <c r="BB50" i="6"/>
  <c r="BM50" i="6" s="1"/>
  <c r="BA50" i="6"/>
  <c r="BL50" i="6" s="1"/>
  <c r="AZ50" i="6"/>
  <c r="BK50" i="6" s="1"/>
  <c r="AY50" i="6"/>
  <c r="BJ50" i="6" s="1"/>
  <c r="AX50" i="6"/>
  <c r="BI50" i="6" s="1"/>
  <c r="AW50" i="6"/>
  <c r="BH50" i="6" s="1"/>
  <c r="AV50" i="6"/>
  <c r="BF49" i="6"/>
  <c r="BQ49" i="6" s="1"/>
  <c r="BE49" i="6"/>
  <c r="BP49" i="6" s="1"/>
  <c r="BD49" i="6"/>
  <c r="BO49" i="6" s="1"/>
  <c r="BC49" i="6"/>
  <c r="BN49" i="6" s="1"/>
  <c r="BB49" i="6"/>
  <c r="BM49" i="6" s="1"/>
  <c r="BA49" i="6"/>
  <c r="BL49" i="6" s="1"/>
  <c r="AZ49" i="6"/>
  <c r="BK49" i="6" s="1"/>
  <c r="AY49" i="6"/>
  <c r="BJ49" i="6" s="1"/>
  <c r="AX49" i="6"/>
  <c r="BI49" i="6" s="1"/>
  <c r="AW49" i="6"/>
  <c r="BH49" i="6" s="1"/>
  <c r="AV49" i="6"/>
  <c r="BF48" i="6"/>
  <c r="BQ48" i="6" s="1"/>
  <c r="BE48" i="6"/>
  <c r="BP48" i="6" s="1"/>
  <c r="BD48" i="6"/>
  <c r="BO48" i="6" s="1"/>
  <c r="BC48" i="6"/>
  <c r="BN48" i="6" s="1"/>
  <c r="BB48" i="6"/>
  <c r="BM48" i="6" s="1"/>
  <c r="BA48" i="6"/>
  <c r="BL48" i="6" s="1"/>
  <c r="AZ48" i="6"/>
  <c r="BK48" i="6" s="1"/>
  <c r="AY48" i="6"/>
  <c r="BJ48" i="6" s="1"/>
  <c r="AX48" i="6"/>
  <c r="BI48" i="6" s="1"/>
  <c r="AW48" i="6"/>
  <c r="BH48" i="6" s="1"/>
  <c r="AV48" i="6"/>
  <c r="BF47" i="6"/>
  <c r="BQ47" i="6" s="1"/>
  <c r="BE47" i="6"/>
  <c r="BP47" i="6" s="1"/>
  <c r="BD47" i="6"/>
  <c r="BO47" i="6" s="1"/>
  <c r="BC47" i="6"/>
  <c r="BN47" i="6" s="1"/>
  <c r="BB47" i="6"/>
  <c r="BM47" i="6" s="1"/>
  <c r="BA47" i="6"/>
  <c r="BL47" i="6" s="1"/>
  <c r="AZ47" i="6"/>
  <c r="BK47" i="6" s="1"/>
  <c r="AY47" i="6"/>
  <c r="BJ47" i="6" s="1"/>
  <c r="AX47" i="6"/>
  <c r="BI47" i="6" s="1"/>
  <c r="AW47" i="6"/>
  <c r="BH47" i="6" s="1"/>
  <c r="AV47" i="6"/>
  <c r="BF46" i="6"/>
  <c r="BQ46" i="6" s="1"/>
  <c r="BE46" i="6"/>
  <c r="BP46" i="6" s="1"/>
  <c r="BD46" i="6"/>
  <c r="BO46" i="6" s="1"/>
  <c r="BC46" i="6"/>
  <c r="BN46" i="6" s="1"/>
  <c r="BB46" i="6"/>
  <c r="BM46" i="6" s="1"/>
  <c r="BA46" i="6"/>
  <c r="BL46" i="6" s="1"/>
  <c r="AZ46" i="6"/>
  <c r="BK46" i="6" s="1"/>
  <c r="AY46" i="6"/>
  <c r="BJ46" i="6" s="1"/>
  <c r="AX46" i="6"/>
  <c r="BI46" i="6" s="1"/>
  <c r="AW46" i="6"/>
  <c r="BH46" i="6" s="1"/>
  <c r="AV46" i="6"/>
  <c r="BF45" i="6"/>
  <c r="BQ45" i="6" s="1"/>
  <c r="BE45" i="6"/>
  <c r="BP45" i="6" s="1"/>
  <c r="BD45" i="6"/>
  <c r="BO45" i="6" s="1"/>
  <c r="BC45" i="6"/>
  <c r="BN45" i="6" s="1"/>
  <c r="BB45" i="6"/>
  <c r="BM45" i="6" s="1"/>
  <c r="BA45" i="6"/>
  <c r="BL45" i="6" s="1"/>
  <c r="AZ45" i="6"/>
  <c r="BK45" i="6" s="1"/>
  <c r="AY45" i="6"/>
  <c r="BJ45" i="6" s="1"/>
  <c r="AX45" i="6"/>
  <c r="BI45" i="6" s="1"/>
  <c r="AW45" i="6"/>
  <c r="BH45" i="6" s="1"/>
  <c r="AV45" i="6"/>
  <c r="BF44" i="6"/>
  <c r="BQ44" i="6" s="1"/>
  <c r="BE44" i="6"/>
  <c r="BP44" i="6" s="1"/>
  <c r="BD44" i="6"/>
  <c r="BO44" i="6" s="1"/>
  <c r="BC44" i="6"/>
  <c r="BN44" i="6" s="1"/>
  <c r="BB44" i="6"/>
  <c r="BM44" i="6" s="1"/>
  <c r="BA44" i="6"/>
  <c r="BL44" i="6" s="1"/>
  <c r="AZ44" i="6"/>
  <c r="BK44" i="6" s="1"/>
  <c r="AY44" i="6"/>
  <c r="BJ44" i="6" s="1"/>
  <c r="AX44" i="6"/>
  <c r="BI44" i="6" s="1"/>
  <c r="AW44" i="6"/>
  <c r="BH44" i="6" s="1"/>
  <c r="AV44" i="6"/>
  <c r="BF43" i="6"/>
  <c r="BQ43" i="6" s="1"/>
  <c r="BE43" i="6"/>
  <c r="BP43" i="6" s="1"/>
  <c r="BD43" i="6"/>
  <c r="BO43" i="6" s="1"/>
  <c r="BC43" i="6"/>
  <c r="BN43" i="6" s="1"/>
  <c r="BB43" i="6"/>
  <c r="BM43" i="6" s="1"/>
  <c r="BA43" i="6"/>
  <c r="BL43" i="6" s="1"/>
  <c r="AZ43" i="6"/>
  <c r="BK43" i="6" s="1"/>
  <c r="AY43" i="6"/>
  <c r="BJ43" i="6" s="1"/>
  <c r="AX43" i="6"/>
  <c r="BI43" i="6" s="1"/>
  <c r="AW43" i="6"/>
  <c r="BH43" i="6" s="1"/>
  <c r="AV43" i="6"/>
  <c r="BF42" i="6"/>
  <c r="BQ42" i="6" s="1"/>
  <c r="BE42" i="6"/>
  <c r="BP42" i="6" s="1"/>
  <c r="BD42" i="6"/>
  <c r="BO42" i="6" s="1"/>
  <c r="BC42" i="6"/>
  <c r="BN42" i="6" s="1"/>
  <c r="BB42" i="6"/>
  <c r="BM42" i="6" s="1"/>
  <c r="BA42" i="6"/>
  <c r="BL42" i="6" s="1"/>
  <c r="AZ42" i="6"/>
  <c r="BK42" i="6" s="1"/>
  <c r="AY42" i="6"/>
  <c r="BJ42" i="6" s="1"/>
  <c r="AX42" i="6"/>
  <c r="BI42" i="6" s="1"/>
  <c r="AW42" i="6"/>
  <c r="BH42" i="6" s="1"/>
  <c r="AV42" i="6"/>
  <c r="BF41" i="6"/>
  <c r="BQ41" i="6" s="1"/>
  <c r="BE41" i="6"/>
  <c r="BP41" i="6" s="1"/>
  <c r="BD41" i="6"/>
  <c r="BO41" i="6" s="1"/>
  <c r="BC41" i="6"/>
  <c r="BN41" i="6" s="1"/>
  <c r="BB41" i="6"/>
  <c r="BM41" i="6" s="1"/>
  <c r="BA41" i="6"/>
  <c r="BL41" i="6" s="1"/>
  <c r="AZ41" i="6"/>
  <c r="BK41" i="6" s="1"/>
  <c r="AY41" i="6"/>
  <c r="BJ41" i="6" s="1"/>
  <c r="AX41" i="6"/>
  <c r="BI41" i="6" s="1"/>
  <c r="AW41" i="6"/>
  <c r="BH41" i="6" s="1"/>
  <c r="AV41" i="6"/>
  <c r="BF8" i="5"/>
  <c r="H84" i="5"/>
  <c r="E66" i="5"/>
  <c r="E65" i="5"/>
  <c r="BF16" i="5"/>
  <c r="BF14" i="5"/>
  <c r="BF12" i="5"/>
  <c r="BF10" i="5"/>
  <c r="E124" i="3"/>
  <c r="E8" i="5" s="1"/>
  <c r="E125" i="3"/>
  <c r="E10" i="5" s="1"/>
  <c r="BG10" i="5" s="1"/>
  <c r="E64" i="5"/>
  <c r="E67" i="5"/>
  <c r="E68" i="5"/>
  <c r="E69" i="5"/>
  <c r="E70" i="5"/>
  <c r="E71" i="5"/>
  <c r="E147" i="3"/>
  <c r="E85" i="5" s="1"/>
  <c r="F147" i="3"/>
  <c r="F85" i="5" s="1"/>
  <c r="G147" i="3"/>
  <c r="H147" i="3"/>
  <c r="H85" i="5" s="1"/>
  <c r="J147" i="3"/>
  <c r="E16" i="5" s="1"/>
  <c r="J85" i="5" s="1"/>
  <c r="K147" i="3"/>
  <c r="K85" i="5" s="1"/>
  <c r="L147" i="3"/>
  <c r="L85" i="5" s="1"/>
  <c r="M147" i="3"/>
  <c r="M85" i="5" s="1"/>
  <c r="H148" i="3"/>
  <c r="H86" i="5" s="1"/>
  <c r="M148" i="3"/>
  <c r="M86" i="5" s="1"/>
  <c r="G52" i="3"/>
  <c r="G148" i="3" s="1"/>
  <c r="G86" i="5" s="1"/>
  <c r="F52" i="3"/>
  <c r="F148" i="3" s="1"/>
  <c r="F86" i="5" s="1"/>
  <c r="E52" i="3"/>
  <c r="E148" i="3" s="1"/>
  <c r="E86" i="5" s="1"/>
  <c r="H50" i="3"/>
  <c r="H146" i="3" s="1"/>
  <c r="G50" i="3"/>
  <c r="G146" i="3" s="1"/>
  <c r="G84" i="5" s="1"/>
  <c r="F50" i="3"/>
  <c r="F146" i="3" s="1"/>
  <c r="F84" i="5" s="1"/>
  <c r="E50" i="3"/>
  <c r="E146" i="3" s="1"/>
  <c r="E84" i="5" s="1"/>
  <c r="E35" i="3"/>
  <c r="BG35" i="3" s="1"/>
  <c r="E33" i="3"/>
  <c r="BG33" i="3" s="1"/>
  <c r="E31" i="3"/>
  <c r="BG31" i="3" s="1"/>
  <c r="E25" i="3"/>
  <c r="BG25" i="3" s="1"/>
  <c r="BF37" i="3"/>
  <c r="BF35" i="3"/>
  <c r="BF33" i="3"/>
  <c r="BF31" i="3"/>
  <c r="BF29" i="3"/>
  <c r="BG29" i="3"/>
  <c r="BF27" i="3"/>
  <c r="BG27" i="3"/>
  <c r="BF25" i="3"/>
  <c r="BF23" i="3"/>
  <c r="BG23" i="3"/>
  <c r="E44" i="3"/>
  <c r="E138" i="3" s="1"/>
  <c r="E76" i="5" s="1"/>
  <c r="E45" i="3"/>
  <c r="E139" i="3" s="1"/>
  <c r="E77" i="5" s="1"/>
  <c r="E16" i="3"/>
  <c r="E120" i="3" s="1"/>
  <c r="E161" i="3" s="1"/>
  <c r="E14" i="3"/>
  <c r="BG14" i="3" s="1"/>
  <c r="E12" i="3"/>
  <c r="BG12" i="3" s="1"/>
  <c r="E10" i="3"/>
  <c r="BG10" i="3" s="1"/>
  <c r="BG8" i="3"/>
  <c r="BF8" i="3"/>
  <c r="BG45" i="3"/>
  <c r="BG44" i="3"/>
  <c r="BG43" i="3"/>
  <c r="BF16" i="3"/>
  <c r="BF14" i="3"/>
  <c r="BF12" i="3"/>
  <c r="BF10" i="3"/>
  <c r="BG21" i="3"/>
  <c r="BF21" i="3"/>
  <c r="E19" i="6" l="1"/>
  <c r="E18" i="6"/>
  <c r="O24" i="6"/>
  <c r="BG16" i="5"/>
  <c r="E63" i="5"/>
  <c r="G155" i="3"/>
  <c r="P24" i="6"/>
  <c r="P17" i="6"/>
  <c r="P18" i="6"/>
  <c r="O17" i="6"/>
  <c r="O18" i="6"/>
  <c r="O19" i="6"/>
  <c r="P19" i="6"/>
  <c r="O20" i="6"/>
  <c r="P20" i="6"/>
  <c r="O21" i="6"/>
  <c r="P21" i="6"/>
  <c r="O22" i="6"/>
  <c r="P22" i="6"/>
  <c r="O23" i="6"/>
  <c r="P15" i="6"/>
  <c r="P23" i="6"/>
  <c r="O15" i="6"/>
  <c r="O16" i="6"/>
  <c r="P16" i="6"/>
  <c r="F15" i="6"/>
  <c r="F16" i="6"/>
  <c r="F17" i="6"/>
  <c r="F18" i="6"/>
  <c r="F19" i="6"/>
  <c r="F20" i="6"/>
  <c r="F21" i="6"/>
  <c r="E24" i="6"/>
  <c r="F22" i="6"/>
  <c r="F23" i="6"/>
  <c r="BQ74" i="6"/>
  <c r="F24" i="6" s="1"/>
  <c r="E17" i="6"/>
  <c r="E20" i="6"/>
  <c r="E21" i="6"/>
  <c r="E22" i="6"/>
  <c r="E23" i="6"/>
  <c r="E16" i="6"/>
  <c r="G85" i="5"/>
  <c r="G93" i="5" s="1"/>
  <c r="E58" i="5"/>
  <c r="E99" i="5" s="1"/>
  <c r="H155" i="3"/>
  <c r="E62" i="5"/>
  <c r="BG8" i="5"/>
  <c r="G92" i="5"/>
  <c r="H92" i="5"/>
  <c r="E93" i="5"/>
  <c r="F93" i="5"/>
  <c r="H93" i="5"/>
  <c r="E92" i="5"/>
  <c r="K148" i="3"/>
  <c r="K86" i="5" s="1"/>
  <c r="F138" i="3"/>
  <c r="F139" i="3" s="1"/>
  <c r="F141" i="3" s="1"/>
  <c r="M146" i="3"/>
  <c r="M84" i="5" s="1"/>
  <c r="M93" i="5" s="1"/>
  <c r="H138" i="3"/>
  <c r="E12" i="5" s="1"/>
  <c r="BG12" i="5" s="1"/>
  <c r="M155" i="3"/>
  <c r="L148" i="3"/>
  <c r="L86" i="5" s="1"/>
  <c r="J148" i="3"/>
  <c r="J86" i="5" s="1"/>
  <c r="E155" i="3"/>
  <c r="F154" i="3"/>
  <c r="H154" i="3"/>
  <c r="E140" i="3"/>
  <c r="E141" i="3" s="1"/>
  <c r="K146" i="3"/>
  <c r="K84" i="5" s="1"/>
  <c r="G154" i="3"/>
  <c r="E154" i="3"/>
  <c r="J146" i="3"/>
  <c r="E14" i="5" s="1"/>
  <c r="H139" i="3"/>
  <c r="H77" i="5" s="1"/>
  <c r="L146" i="3"/>
  <c r="L84" i="5" s="1"/>
  <c r="F155" i="3"/>
  <c r="E119" i="3"/>
  <c r="E118" i="3"/>
  <c r="E56" i="5" s="1"/>
  <c r="E117" i="3"/>
  <c r="E55" i="5" s="1"/>
  <c r="E91" i="5" s="1"/>
  <c r="E37" i="3"/>
  <c r="BG37" i="3" s="1"/>
  <c r="BG16" i="3"/>
  <c r="H76" i="5" l="1"/>
  <c r="H91" i="5"/>
  <c r="M91" i="5" s="1"/>
  <c r="G91" i="5"/>
  <c r="L91" i="5" s="1"/>
  <c r="G78" i="5"/>
  <c r="K93" i="5"/>
  <c r="K92" i="5"/>
  <c r="L92" i="5"/>
  <c r="J84" i="5"/>
  <c r="BG14" i="5"/>
  <c r="M92" i="5"/>
  <c r="L154" i="3"/>
  <c r="L93" i="5"/>
  <c r="H140" i="3"/>
  <c r="H141" i="3" s="1"/>
  <c r="E160" i="3"/>
  <c r="E57" i="5"/>
  <c r="E98" i="5" s="1"/>
  <c r="F91" i="5"/>
  <c r="K91" i="5" s="1"/>
  <c r="M154" i="3"/>
  <c r="F92" i="5"/>
  <c r="F76" i="5"/>
  <c r="E78" i="5"/>
  <c r="E79" i="5" s="1"/>
  <c r="H78" i="5"/>
  <c r="H79" i="5" s="1"/>
  <c r="I76" i="5"/>
  <c r="L155" i="3"/>
  <c r="I138" i="3"/>
  <c r="I139" i="3" s="1"/>
  <c r="I141" i="3" s="1"/>
  <c r="G139" i="3"/>
  <c r="J139" i="3" s="1"/>
  <c r="G140" i="3"/>
  <c r="E153" i="3"/>
  <c r="G138" i="3"/>
  <c r="G153" i="3"/>
  <c r="L153" i="3" s="1"/>
  <c r="H153" i="3"/>
  <c r="M153" i="3" s="1"/>
  <c r="F153" i="3"/>
  <c r="K153" i="3" s="1"/>
  <c r="E56" i="3"/>
  <c r="J155" i="3"/>
  <c r="J154" i="3"/>
  <c r="K154" i="3"/>
  <c r="K155" i="3"/>
  <c r="I91" i="5" l="1"/>
  <c r="I92" i="5" s="1"/>
  <c r="E57" i="3"/>
  <c r="E23" i="5" s="1"/>
  <c r="E21" i="5"/>
  <c r="J92" i="5"/>
  <c r="J93" i="5"/>
  <c r="I77" i="5"/>
  <c r="I79" i="5" s="1"/>
  <c r="F77" i="5"/>
  <c r="G77" i="5" s="1"/>
  <c r="J77" i="5" s="1"/>
  <c r="G76" i="5"/>
  <c r="I153" i="3"/>
  <c r="I155" i="3" s="1"/>
  <c r="G141" i="3"/>
  <c r="J138" i="3"/>
  <c r="J141" i="3" s="1"/>
  <c r="J153" i="3" s="1"/>
  <c r="I146" i="3" l="1"/>
  <c r="I84" i="5" s="1"/>
  <c r="I93" i="5"/>
  <c r="I147" i="3"/>
  <c r="I85" i="5" s="1"/>
  <c r="I148" i="3"/>
  <c r="I86" i="5" s="1"/>
  <c r="I154" i="3"/>
  <c r="G79" i="5"/>
  <c r="J76" i="5"/>
  <c r="J79" i="5" s="1"/>
  <c r="J91" i="5" s="1"/>
  <c r="F79" i="5"/>
  <c r="N153" i="3"/>
  <c r="N148" i="3" s="1"/>
  <c r="N86" i="5" s="1"/>
  <c r="N91" i="5" l="1"/>
  <c r="N155" i="3"/>
  <c r="F161" i="3" s="1"/>
  <c r="N154" i="3"/>
  <c r="F160" i="3" s="1"/>
  <c r="N146" i="3"/>
  <c r="N84" i="5" s="1"/>
  <c r="N147" i="3"/>
  <c r="N85" i="5" s="1"/>
  <c r="N93" i="5" l="1"/>
  <c r="F99" i="5" s="1"/>
  <c r="N92" i="5"/>
  <c r="F98" i="5" s="1"/>
  <c r="F56" i="3"/>
  <c r="F57" i="3" l="1"/>
  <c r="F23" i="5" s="1"/>
  <c r="F21" i="5"/>
  <c r="G21" i="5"/>
  <c r="G2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 Robert</author>
    <author>William Robert</author>
  </authors>
  <commentList>
    <comment ref="C3" authorId="0" shapeId="0" xr:uid="{F205FE72-64A1-B74C-BCCA-B64A936EE0A8}">
      <text>
        <r>
          <rPr>
            <sz val="10"/>
            <color rgb="FF000000"/>
            <rFont val="Tahoma"/>
            <family val="2"/>
          </rPr>
          <t>This sheet calculates state-level transportation GHG emissions in a baseline year and future year. Select a state below to populate selected parameter values. Enter alternative parameter values in the blue-shaded cells.</t>
        </r>
      </text>
    </comment>
    <comment ref="C5" authorId="0" shapeId="0" xr:uid="{647982C0-EEA7-5247-A97C-63374CB833D4}">
      <text>
        <r>
          <rPr>
            <sz val="10"/>
            <color rgb="FF000000"/>
            <rFont val="Tahoma"/>
            <family val="2"/>
          </rPr>
          <t>Baseline data are populated based on the selected state using data for 2019. Enter override values as desired in the Override column.</t>
        </r>
      </text>
    </comment>
    <comment ref="C8" authorId="1" shapeId="0" xr:uid="{7AA53BF8-3511-A346-9ED6-5C4419C56A76}">
      <text>
        <r>
          <rPr>
            <sz val="10"/>
            <color rgb="FF000000"/>
            <rFont val="Calibri"/>
            <family val="2"/>
            <charset val="128"/>
          </rPr>
          <t>Select state - this will populate selected data items</t>
        </r>
      </text>
    </comment>
    <comment ref="C10" authorId="0" shapeId="0" xr:uid="{F717FB87-3A4F-944D-A671-58952A8D8896}">
      <text>
        <r>
          <rPr>
            <sz val="10"/>
            <color rgb="FF000000"/>
            <rFont val="+mn-lt"/>
            <charset val="1"/>
          </rPr>
          <t>Populated Based on State</t>
        </r>
      </text>
    </comment>
    <comment ref="C12" authorId="0" shapeId="0" xr:uid="{FF6F490A-E573-6E45-A8FD-EEBB625B3CB8}">
      <text>
        <r>
          <rPr>
            <sz val="10"/>
            <color rgb="FF000000"/>
            <rFont val="+mn-lt"/>
            <charset val="1"/>
          </rPr>
          <t>Populated Based on State</t>
        </r>
      </text>
    </comment>
    <comment ref="C14" authorId="0" shapeId="0" xr:uid="{CB3B7173-4084-CA4C-8C9E-0AAD9E89F2A4}">
      <text>
        <r>
          <rPr>
            <sz val="10"/>
            <color rgb="FF000000"/>
            <rFont val="+mn-lt"/>
            <charset val="1"/>
          </rPr>
          <t>Populated Based on State</t>
        </r>
      </text>
    </comment>
    <comment ref="C16" authorId="0" shapeId="0" xr:uid="{988AEB65-1CA2-0E45-A253-27AC12A05C9B}">
      <text>
        <r>
          <rPr>
            <sz val="10"/>
            <color rgb="FF000000"/>
            <rFont val="+mn-lt"/>
            <charset val="1"/>
          </rPr>
          <t>Populated Based on State</t>
        </r>
      </text>
    </comment>
    <comment ref="C18" authorId="0" shapeId="0" xr:uid="{E8703C98-3228-2346-BA73-242607802ED0}">
      <text>
        <r>
          <rPr>
            <sz val="10"/>
            <color rgb="FF000000"/>
            <rFont val="Tahoma"/>
            <family val="2"/>
          </rPr>
          <t>These paraemters are populated with national defaults. Enter alternative values for the parameters as desired in the Override column.</t>
        </r>
      </text>
    </comment>
    <comment ref="C21" authorId="1" shapeId="0" xr:uid="{AC2E0E18-849B-1047-84BF-F0BC2DF5502D}">
      <text>
        <r>
          <rPr>
            <sz val="10"/>
            <color rgb="FF000000"/>
            <rFont val="Calibri"/>
            <family val="2"/>
            <charset val="128"/>
          </rPr>
          <t>Period over which VMT growth and other parameters are calculated</t>
        </r>
      </text>
    </comment>
    <comment ref="C23" authorId="0" shapeId="0" xr:uid="{ED61421B-17EB-3D49-9CA8-5CBAE167AA07}">
      <text>
        <r>
          <rPr>
            <sz val="10"/>
            <color rgb="FF000000"/>
            <rFont val="Calibri"/>
            <family val="34"/>
          </rPr>
          <t xml:space="preserve">The default is the average annual growth rate nationally from 2011 to 2019 based on FHWA Highway Statistics </t>
        </r>
      </text>
    </comment>
    <comment ref="C25" authorId="0" shapeId="0" xr:uid="{821FC86B-BB24-574D-BB66-C4A985AEA1D9}">
      <text>
        <r>
          <rPr>
            <sz val="10"/>
            <color rgb="FF000000"/>
            <rFont val="+mn-lt"/>
            <charset val="1"/>
          </rPr>
          <t>The default value is cacluated using national data from the 2018 ACS</t>
        </r>
      </text>
    </comment>
    <comment ref="C27" authorId="0" shapeId="0" xr:uid="{3F11B11E-ECA7-084E-A88E-AB28B988DC55}">
      <text>
        <r>
          <rPr>
            <sz val="10"/>
            <color rgb="FF000000"/>
            <rFont val="Calibri"/>
            <family val="2"/>
          </rPr>
          <t xml:space="preserve">The default value is equal to the value for Finished Gasoline reported here: https://www.eia.gov/environment/emissions/co2_vol_mass.php. 
</t>
        </r>
        <r>
          <rPr>
            <sz val="10"/>
            <color rgb="FF000000"/>
            <rFont val="Calibri"/>
            <family val="2"/>
          </rPr>
          <t xml:space="preserve">
</t>
        </r>
        <r>
          <rPr>
            <sz val="10"/>
            <color rgb="FF000000"/>
            <rFont val="Calibri"/>
            <family val="2"/>
          </rPr>
          <t xml:space="preserve">This includes adjustment for ethanol. Note the value for Motor Gasoline is different (8.78 rather than 8.10).
</t>
        </r>
      </text>
    </comment>
    <comment ref="C29" authorId="0" shapeId="0" xr:uid="{527C2438-14FE-4740-B82B-FF447B706E1D}">
      <text>
        <r>
          <rPr>
            <sz val="10"/>
            <color rgb="FF000000"/>
            <rFont val="Calibri"/>
            <family val="2"/>
            <scheme val="minor"/>
          </rPr>
          <t xml:space="preserve">The default value is equal to the value for </t>
        </r>
        <r>
          <rPr>
            <sz val="10"/>
            <color rgb="FF000000"/>
            <rFont val="Calibri"/>
            <family val="2"/>
          </rPr>
          <t>D</t>
        </r>
        <r>
          <rPr>
            <sz val="10"/>
            <color rgb="FF000000"/>
            <rFont val="Calibri"/>
            <family val="2"/>
          </rPr>
          <t xml:space="preserve">iesel shown here: https://www.eia.gov/environment/emissions/co2_vol_mass.php
</t>
        </r>
      </text>
    </comment>
    <comment ref="C31" authorId="0" shapeId="0" xr:uid="{F8D4F4AD-BAFA-054B-82DA-8F638E222DBD}">
      <text>
        <r>
          <rPr>
            <sz val="10"/>
            <color rgb="FF000000"/>
            <rFont val="Calibri"/>
            <family val="2"/>
          </rPr>
          <t xml:space="preserve">The default is the national level value for 2019 obtained from Highway Statistics, Table VMT-1.
</t>
        </r>
      </text>
    </comment>
    <comment ref="C33" authorId="0" shapeId="0" xr:uid="{C1ADE943-477B-6C4F-B1E6-968DB4CFE8BE}">
      <text>
        <r>
          <rPr>
            <sz val="10"/>
            <color rgb="FF000000"/>
            <rFont val="+mn-lt"/>
            <charset val="1"/>
          </rPr>
          <t>The default is the national level value for 2019 obtained from Highway Statistics, Table VMT-1.</t>
        </r>
        <r>
          <rPr>
            <sz val="10"/>
            <color rgb="FF000000"/>
            <rFont val="+mn-lt"/>
            <charset val="1"/>
          </rPr>
          <t xml:space="preserve">
</t>
        </r>
      </text>
    </comment>
    <comment ref="C35" authorId="0" shapeId="0" xr:uid="{080EE06D-0368-E34B-B4BD-FDD8251FB62A}">
      <text>
        <r>
          <rPr>
            <sz val="10"/>
            <color rgb="FF000000"/>
            <rFont val="+mn-lt"/>
            <charset val="1"/>
          </rPr>
          <t>The default is the national level value for 2019 obtained from Highway Statistics, Table VMT-1.</t>
        </r>
        <r>
          <rPr>
            <sz val="10"/>
            <color rgb="FF000000"/>
            <rFont val="+mn-lt"/>
            <charset val="1"/>
          </rPr>
          <t xml:space="preserve">
</t>
        </r>
      </text>
    </comment>
    <comment ref="C37" authorId="0" shapeId="0" xr:uid="{73362D92-4434-DF48-96F8-F48551FD43CD}">
      <text>
        <r>
          <rPr>
            <sz val="10"/>
            <color rgb="FF000000"/>
            <rFont val="+mn-lt"/>
            <charset val="1"/>
          </rPr>
          <t>The default is the national level value for 2019 obtained from Highway Statistics, Table VMT-1.</t>
        </r>
        <r>
          <rPr>
            <sz val="10"/>
            <color rgb="FF000000"/>
            <rFont val="+mn-lt"/>
            <charset val="1"/>
          </rPr>
          <t xml:space="preserve">
</t>
        </r>
      </text>
    </comment>
    <comment ref="C39" authorId="0" shapeId="0" xr:uid="{9EB342C2-E136-4247-B51A-0F8090FB23D6}">
      <text>
        <r>
          <rPr>
            <sz val="10"/>
            <color rgb="FF000000"/>
            <rFont val="+mn-lt"/>
            <charset val="1"/>
          </rPr>
          <t xml:space="preserve">The default value is for 2009 based on data from FHWA published here: https://nhts.ornl.gov/2009/pub/stt.pdf
</t>
        </r>
      </text>
    </comment>
    <comment ref="C41" authorId="0" shapeId="0" xr:uid="{B1869317-1DFF-CE48-B45D-F2118F500BBC}">
      <text>
        <r>
          <rPr>
            <sz val="10"/>
            <color rgb="FF000000"/>
            <rFont val="Tahoma"/>
            <family val="2"/>
          </rPr>
          <t>These parameters are populated based on the selected state. Enter alternative values for the baseline or future cases as desired.</t>
        </r>
      </text>
    </comment>
    <comment ref="C44" authorId="1" shapeId="0" xr:uid="{0B1BEB40-0CD7-584B-AD25-CA3A0EC0E41D}">
      <text>
        <r>
          <rPr>
            <sz val="10"/>
            <color rgb="FF000000"/>
            <rFont val="Calibri"/>
            <family val="2"/>
            <charset val="128"/>
          </rPr>
          <t>The defaults are from Journey to Work data by state from the ACS, estimates for 2012-2016</t>
        </r>
      </text>
    </comment>
    <comment ref="C45" authorId="1" shapeId="0" xr:uid="{C90F48FB-4B36-3C48-801E-85CF9F440DB2}">
      <text>
        <r>
          <rPr>
            <sz val="10"/>
            <color rgb="FF000000"/>
            <rFont val="Calibri"/>
            <family val="2"/>
            <charset val="128"/>
          </rPr>
          <t>The defaults are from Journey to Work data by state from the ACS, estimates for 2012-2016</t>
        </r>
      </text>
    </comment>
    <comment ref="C47" authorId="0" shapeId="0" xr:uid="{6E6843B1-33BC-EF4F-AB5B-A1FE103DAA1D}">
      <text>
        <r>
          <rPr>
            <sz val="10"/>
            <color rgb="FF000000"/>
            <rFont val="Calibri"/>
            <family val="2"/>
            <scheme val="minor"/>
          </rPr>
          <t>These paraemters are populated with national defaults. Enter alternative values for the baseline or future cases as desired.</t>
        </r>
        <r>
          <rPr>
            <sz val="10"/>
            <color rgb="FF000000"/>
            <rFont val="Calibri"/>
            <family val="2"/>
            <scheme val="minor"/>
          </rPr>
          <t xml:space="preserve"> </t>
        </r>
      </text>
    </comment>
    <comment ref="F49" authorId="0" shapeId="0" xr:uid="{EEDC1F49-2857-AD4C-AED2-98F86420B867}">
      <text>
        <r>
          <rPr>
            <sz val="10"/>
            <color rgb="FF000000"/>
            <rFont val="Tahoma"/>
            <family val="2"/>
          </rPr>
          <t>Includes buses</t>
        </r>
      </text>
    </comment>
    <comment ref="C50" authorId="1" shapeId="0" xr:uid="{58EF7393-F947-9349-A75A-1439EA03B56D}">
      <text>
        <r>
          <rPr>
            <sz val="10"/>
            <color rgb="FF000000"/>
            <rFont val="Calibri"/>
            <family val="2"/>
          </rPr>
          <t>The defaults are from 2019 Highway Statistics Table VM-1, adjusted to remove EV component</t>
        </r>
      </text>
    </comment>
    <comment ref="C51" authorId="1" shapeId="0" xr:uid="{EA663741-C121-8247-9795-F806CA3E4A97}">
      <text>
        <r>
          <rPr>
            <sz val="10"/>
            <color rgb="FF000000"/>
            <rFont val="Calibri"/>
            <family val="2"/>
          </rPr>
          <t>The defaults are estimate dbased on sales data - the actual value for autos may vary significantly by state.</t>
        </r>
      </text>
    </comment>
    <comment ref="C52" authorId="1" shapeId="0" xr:uid="{D8252DFA-C3AF-CA40-9DEF-F3B0D0038658}">
      <text>
        <r>
          <rPr>
            <sz val="10"/>
            <color rgb="FF000000"/>
            <rFont val="Calibri"/>
            <family val="2"/>
          </rPr>
          <t>The defaults are based on Bureau of Transportation statistics published here: https://www.bts.dot.gov/sites/bts.dot.gov/files/legacy/DieselFactSheet.pdf</t>
        </r>
      </text>
    </comment>
    <comment ref="C54" authorId="0" shapeId="0" xr:uid="{2084B59E-78CD-714C-8E96-BEA6990F49D7}">
      <text>
        <r>
          <rPr>
            <sz val="10"/>
            <color rgb="FF000000"/>
            <rFont val="Tahoma"/>
            <family val="2"/>
          </rPr>
          <t>Predicted GHG emissions are shown below. The baseline calculation is based on baseline fuel consumption. Future year emissions are estimated by adjusting the baseline calculation for traffic growth and changes in fuel efficiency.</t>
        </r>
      </text>
    </comment>
    <comment ref="C126" authorId="0" shapeId="0" xr:uid="{4BB3A751-12B6-FC41-8FCB-D313C79858C1}">
      <text>
        <r>
          <rPr>
            <sz val="10"/>
            <color rgb="FF000000"/>
            <rFont val="Tahoma"/>
            <family val="2"/>
          </rPr>
          <t>2018 American Community Survey  Data</t>
        </r>
      </text>
    </comment>
    <comment ref="C127" authorId="0" shapeId="0" xr:uid="{96B8E6B2-8976-354E-BF99-461ABD477300}">
      <text>
        <r>
          <rPr>
            <sz val="10"/>
            <color rgb="FF000000"/>
            <rFont val="Tahoma"/>
            <family val="2"/>
          </rPr>
          <t>Value for Finished Gasoline from: https://www.eia.gov/environment/emissions/co2_vol_mass.php. This includes adjustment for ethanol. Note the value for Motor Gasoline is different: 8.78</t>
        </r>
      </text>
    </comment>
    <comment ref="C128" authorId="0" shapeId="0" xr:uid="{DA0A1963-9FF7-3D4F-9164-78C821CA680B}">
      <text>
        <r>
          <rPr>
            <sz val="10"/>
            <color rgb="FF000000"/>
            <rFont val="Tahoma"/>
            <family val="2"/>
          </rPr>
          <t>Value for diesel from https://www.eia.gov/environment/emissions/co2_vol_mass.php</t>
        </r>
      </text>
    </comment>
    <comment ref="C129" authorId="0" shapeId="0" xr:uid="{AB57A16A-4697-B548-BBF5-19A7F4ACE95D}">
      <text>
        <r>
          <rPr>
            <sz val="10"/>
            <color rgb="FF000000"/>
            <rFont val="Tahoma"/>
            <family val="2"/>
          </rPr>
          <t>2019 Highway Statistics Table VMT-1</t>
        </r>
      </text>
    </comment>
    <comment ref="C130" authorId="0" shapeId="0" xr:uid="{8E45E3BF-A9D1-3041-ADB7-5925E3F599A3}">
      <text>
        <r>
          <rPr>
            <sz val="10"/>
            <color rgb="FF000000"/>
            <rFont val="Calibri"/>
            <family val="2"/>
          </rPr>
          <t>2019 Highway Statistics Table VMT-1</t>
        </r>
      </text>
    </comment>
    <comment ref="C131" authorId="0" shapeId="0" xr:uid="{12CB39C0-4EF1-DE4B-A4B4-88E4A2168556}">
      <text>
        <r>
          <rPr>
            <sz val="10"/>
            <color rgb="FF000000"/>
            <rFont val="Calibri"/>
            <family val="2"/>
          </rPr>
          <t xml:space="preserve">2019 Highway Statistics Table VMT-1
</t>
        </r>
      </text>
    </comment>
    <comment ref="C132" authorId="0" shapeId="0" xr:uid="{4C2CC32D-795C-9D4C-BF45-8C11FE1CD091}">
      <text>
        <r>
          <rPr>
            <sz val="10"/>
            <color rgb="FF000000"/>
            <rFont val="Calibri"/>
            <family val="2"/>
          </rPr>
          <t xml:space="preserve">2019 Highway Statistics Table VMT-1
</t>
        </r>
      </text>
    </comment>
    <comment ref="C133" authorId="0" shapeId="0" xr:uid="{580B05E0-D3FD-074C-BF33-EEFAA5E80F3C}">
      <text>
        <r>
          <rPr>
            <sz val="10"/>
            <color rgb="FF000000"/>
            <rFont val="Tahoma"/>
            <family val="2"/>
          </rPr>
          <t>2009 FHWA data from : https://nhts.ornl.gov/2009/pub/stt.pdf</t>
        </r>
      </text>
    </comment>
    <comment ref="C146" authorId="0" shapeId="0" xr:uid="{1F37CA22-654A-CB46-9B9A-CFA7DCF16768}">
      <text>
        <r>
          <rPr>
            <sz val="10"/>
            <color rgb="FF000000"/>
            <rFont val="Tahoma"/>
            <family val="2"/>
          </rPr>
          <t>2019 Highway Statistics Table VMT-1, adjusted to remove EV component</t>
        </r>
      </text>
    </comment>
    <comment ref="C147" authorId="0" shapeId="0" xr:uid="{C851E882-BBAB-4144-9C7D-9E0D128A530D}">
      <text>
        <r>
          <rPr>
            <sz val="10"/>
            <color rgb="FF000000"/>
            <rFont val="Tahoma"/>
            <family val="2"/>
          </rPr>
          <t>Estimate based on sales data - will vary significantly by state</t>
        </r>
      </text>
    </comment>
    <comment ref="C148" authorId="0" shapeId="0" xr:uid="{9580BCBC-00B6-9D4B-96DE-40D7BF28B45C}">
      <text>
        <r>
          <rPr>
            <sz val="10"/>
            <color rgb="FF000000"/>
            <rFont val="Tahoma"/>
            <family val="2"/>
          </rPr>
          <t>Estimated based on https://www.bts.dot.gov/sites/bts.dot.gov/files/legacy/DieselFactSheet.pdf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 Robert</author>
  </authors>
  <commentList>
    <comment ref="C3" authorId="0" shapeId="0" xr:uid="{1A00F6A3-EAEA-6B4F-AB29-2582E7FAEF57}">
      <text>
        <r>
          <rPr>
            <sz val="10"/>
            <color rgb="FF000000"/>
            <rFont val="Calibri"/>
            <family val="2"/>
          </rPr>
          <t xml:space="preserve">This sheet is used to test the sensitivity of the calclulation of GHG emissions to changes in selected key parameters. To use this sheet first review the assmuptions regarding baseline and future year calculations in the Summary tab. The results from that tab are reproduced here. Next enter alternative parameter values as desired in the blue-shaded cells. The results labeled Test are an alternative calculation of future year GHG emissions made using the test values entered.
</t>
        </r>
      </text>
    </comment>
    <comment ref="C64" authorId="0" shapeId="0" xr:uid="{C8BC0F03-BAF4-1A4D-8AED-032C6F04810A}">
      <text>
        <r>
          <rPr>
            <sz val="10"/>
            <color rgb="FF000000"/>
            <rFont val="Tahoma"/>
            <family val="2"/>
          </rPr>
          <t>2018 American Community Survey  Data</t>
        </r>
      </text>
    </comment>
    <comment ref="C65" authorId="0" shapeId="0" xr:uid="{51A1235D-8505-CE45-B8F6-61CC5F805D77}">
      <text>
        <r>
          <rPr>
            <sz val="10"/>
            <color rgb="FF000000"/>
            <rFont val="Tahoma"/>
            <family val="2"/>
          </rPr>
          <t>Value for Finished Gasoline from: https://www.eia.gov/environment/emissions/co2_vol_mass.php. This includes adjustment for ethanol. Note the value for Motor Gasoline is different: 8.78</t>
        </r>
      </text>
    </comment>
    <comment ref="C66" authorId="0" shapeId="0" xr:uid="{9506E93E-EB1B-B941-AE74-D02566B76838}">
      <text>
        <r>
          <rPr>
            <sz val="10"/>
            <color rgb="FF000000"/>
            <rFont val="Tahoma"/>
            <family val="2"/>
          </rPr>
          <t>Value for diesel from https://www.eia.gov/environment/emissions/co2_vol_mass.php</t>
        </r>
      </text>
    </comment>
    <comment ref="C67" authorId="0" shapeId="0" xr:uid="{F3366CA6-57DB-BF4F-AFDB-4D8798D671E8}">
      <text>
        <r>
          <rPr>
            <sz val="10"/>
            <color rgb="FF000000"/>
            <rFont val="Tahoma"/>
            <family val="2"/>
          </rPr>
          <t>2019 Highway Statistics Table VMT-1</t>
        </r>
      </text>
    </comment>
    <comment ref="C68" authorId="0" shapeId="0" xr:uid="{4E812E9D-2BAC-D144-AF3B-F07DBD29ADC6}">
      <text>
        <r>
          <rPr>
            <sz val="10"/>
            <color rgb="FF000000"/>
            <rFont val="Calibri"/>
            <family val="2"/>
          </rPr>
          <t>2019 Highway Statistics Table VMT-1</t>
        </r>
      </text>
    </comment>
    <comment ref="C69" authorId="0" shapeId="0" xr:uid="{B79EF1D1-8693-8540-845B-54D9719E91A2}">
      <text>
        <r>
          <rPr>
            <sz val="10"/>
            <color rgb="FF000000"/>
            <rFont val="Calibri"/>
            <family val="2"/>
          </rPr>
          <t xml:space="preserve">2019 Highway Statistics Table VMT-1
</t>
        </r>
      </text>
    </comment>
    <comment ref="C70" authorId="0" shapeId="0" xr:uid="{3DA7ADF1-371E-8347-AAF3-5907BF5EC8AB}">
      <text>
        <r>
          <rPr>
            <sz val="10"/>
            <color rgb="FF000000"/>
            <rFont val="Calibri"/>
            <family val="2"/>
          </rPr>
          <t xml:space="preserve">2019 Highway Statistics Table VMT-1
</t>
        </r>
      </text>
    </comment>
    <comment ref="C71" authorId="0" shapeId="0" xr:uid="{ECE7A7CF-3FF9-B045-A4E3-ED51A377D057}">
      <text>
        <r>
          <rPr>
            <sz val="10"/>
            <color rgb="FF000000"/>
            <rFont val="Tahoma"/>
            <family val="2"/>
          </rPr>
          <t>2009 FHWA data from : https://nhts.ornl.gov/2009/pub/stt.pdf</t>
        </r>
      </text>
    </comment>
    <comment ref="C84" authorId="0" shapeId="0" xr:uid="{A2449849-505B-9C45-BC32-254AE2C8F725}">
      <text>
        <r>
          <rPr>
            <sz val="10"/>
            <color rgb="FF000000"/>
            <rFont val="Tahoma"/>
            <family val="2"/>
          </rPr>
          <t>2019 Highway Statistics Table VMT-1, adjusted to remove EV component</t>
        </r>
      </text>
    </comment>
    <comment ref="C85" authorId="0" shapeId="0" xr:uid="{0C21AD2C-A683-C248-A6D7-1028713C18C6}">
      <text>
        <r>
          <rPr>
            <sz val="10"/>
            <color rgb="FF000000"/>
            <rFont val="Tahoma"/>
            <family val="2"/>
          </rPr>
          <t>Estimate based on sales data - will vary significantly by state</t>
        </r>
      </text>
    </comment>
    <comment ref="C86" authorId="0" shapeId="0" xr:uid="{B1398318-2694-884B-AA81-B0BF6A44C6F7}">
      <text>
        <r>
          <rPr>
            <sz val="10"/>
            <color rgb="FF000000"/>
            <rFont val="Tahoma"/>
            <family val="2"/>
          </rPr>
          <t>Estimated based on https://www.bts.dot.gov/sites/bts.dot.gov/files/legacy/DieselFactSheet.pdf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Bill Robert</author>
  </authors>
  <commentList>
    <comment ref="C3" authorId="0" shapeId="0" xr:uid="{82A705AB-DC98-E84A-9008-3063601C4F80}">
      <text>
        <r>
          <rPr>
            <sz val="10"/>
            <color rgb="FF000000"/>
            <rFont val="Calibri"/>
            <family val="2"/>
          </rPr>
          <t xml:space="preserve">This sheet is used to view trends in metrics related to GHG emissions. Data shown here were obtained from FHWA's Highway Statistics for 2011 to 2020. The calcuation of GHG emissions is made based on reported fuel data using the parameters shown in the Summary tab. To use Graph 1 or Graph 2 first select a state then select the metrics to graph. Note the two graphs are independent from one another. </t>
        </r>
      </text>
    </comment>
  </commentList>
</comments>
</file>

<file path=xl/sharedStrings.xml><?xml version="1.0" encoding="utf-8"?>
<sst xmlns="http://schemas.openxmlformats.org/spreadsheetml/2006/main" count="391" uniqueCount="159">
  <si>
    <t>Fuel Type</t>
  </si>
  <si>
    <t>Gasoline</t>
  </si>
  <si>
    <t>Other</t>
  </si>
  <si>
    <t>Auto</t>
  </si>
  <si>
    <t>Total</t>
  </si>
  <si>
    <t>Special Fuels</t>
  </si>
  <si>
    <t>Drove Alone</t>
  </si>
  <si>
    <t>Carpool</t>
  </si>
  <si>
    <t>Mode</t>
  </si>
  <si>
    <t>Baseline</t>
  </si>
  <si>
    <t>% of Auto Commute VMT</t>
  </si>
  <si>
    <t>% of Commute Trips</t>
  </si>
  <si>
    <t>Vehicle Occupancy, Carpools</t>
  </si>
  <si>
    <t>Parameter</t>
  </si>
  <si>
    <t>Value</t>
  </si>
  <si>
    <t>Annual VMT Growth</t>
  </si>
  <si>
    <t>Gasoline (000 gallons)</t>
  </si>
  <si>
    <t>Special Fuels (000 gallons)</t>
  </si>
  <si>
    <t>Gasoline CO2 Content (kg/gallon)</t>
  </si>
  <si>
    <t>Fuel Consumption by Vehicle Type</t>
  </si>
  <si>
    <t>Description</t>
  </si>
  <si>
    <t>Average Efficiency, Non-EV (mpg)</t>
  </si>
  <si>
    <t>EV Adoption Rate</t>
  </si>
  <si>
    <t>Gasoline Consumption (gallons/mile)</t>
  </si>
  <si>
    <t>Special Fuel Consumption (gallons/mile)</t>
  </si>
  <si>
    <t>Metric Tons of CO2</t>
  </si>
  <si>
    <t>Misc. Parameters</t>
  </si>
  <si>
    <t>Baseline Values</t>
  </si>
  <si>
    <t>Special Fuels CO2 Content (kg/gallon)</t>
  </si>
  <si>
    <t>Percent of Non-EV's Using Gasoline</t>
  </si>
  <si>
    <t>Years to Project Out</t>
  </si>
  <si>
    <t>Future</t>
  </si>
  <si>
    <t>Percent of VMT, Autos</t>
  </si>
  <si>
    <t>Percent of VMT, Motorcycles</t>
  </si>
  <si>
    <t>Calculations by Vehicle Type</t>
  </si>
  <si>
    <t>Combo Truck</t>
  </si>
  <si>
    <t>Motorcycles</t>
  </si>
  <si>
    <t>SU Truck and Buses</t>
  </si>
  <si>
    <t>Percent of VMT, SU Trucks and Buses</t>
  </si>
  <si>
    <t>Percent of VMT, Combo Trucks</t>
  </si>
  <si>
    <t>Required Parameters</t>
  </si>
  <si>
    <t>Default</t>
  </si>
  <si>
    <t>Override</t>
  </si>
  <si>
    <t>Notes</t>
  </si>
  <si>
    <t>Analysis Period (years)</t>
  </si>
  <si>
    <t>General Parameters</t>
  </si>
  <si>
    <t>Values by Mode</t>
  </si>
  <si>
    <t>Mode 1</t>
  </si>
  <si>
    <t>Gallons (000) per Dollar($M) - Mode 1</t>
  </si>
  <si>
    <t>Gallons (000) per Dollar($M) - Mode 2</t>
  </si>
  <si>
    <t>Other Parameters</t>
  </si>
  <si>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</si>
  <si>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</si>
  <si>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</si>
  <si>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</si>
  <si>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</si>
  <si>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</si>
  <si>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</si>
  <si>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</si>
  <si>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</si>
  <si>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</si>
  <si>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</si>
  <si>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</si>
  <si>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</si>
  <si>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</si>
  <si>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</si>
  <si>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</si>
  <si>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</si>
  <si>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</si>
  <si>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</si>
  <si>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</si>
  <si>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</si>
  <si>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</si>
  <si>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</si>
  <si>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</si>
  <si>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</si>
  <si>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</si>
  <si>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</si>
  <si>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</si>
  <si>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</si>
  <si>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</si>
  <si>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</si>
  <si>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</si>
  <si>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</si>
  <si>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</si>
  <si>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</si>
  <si>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</si>
  <si>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</si>
  <si>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</si>
  <si>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</si>
  <si>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</si>
  <si>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</si>
  <si>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</si>
  <si>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</si>
  <si>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</si>
  <si>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</si>
  <si>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</si>
  <si>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</si>
  <si>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</si>
  <si>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</si>
  <si>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</si>
  <si>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</si>
  <si>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</si>
  <si>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Drive Alone</t>
  </si>
  <si>
    <t>Baseline Data</t>
  </si>
  <si>
    <t>Gasoline Consumption (000 gallons)</t>
  </si>
  <si>
    <t>Special Fuels Consumption (000 gallons)</t>
  </si>
  <si>
    <t>Journey to Work Data</t>
  </si>
  <si>
    <t>Percent of Auto Trips that are Work Trips</t>
  </si>
  <si>
    <t>Percent of Work Trips Driving Alone</t>
  </si>
  <si>
    <t>Percent of Work Trips Carpooling</t>
  </si>
  <si>
    <t>Defaults by State</t>
  </si>
  <si>
    <t>EV Percent of Fleet</t>
  </si>
  <si>
    <t>Percent of Non-EVs Using Gasoline</t>
  </si>
  <si>
    <t>Fuel Consumption Data by Vehicle Type</t>
  </si>
  <si>
    <t>Autos</t>
  </si>
  <si>
    <t>Light Trucks/Buses</t>
  </si>
  <si>
    <t>Combo Trucks</t>
  </si>
  <si>
    <t>Work Trip Analysis</t>
  </si>
  <si>
    <t>Calculations</t>
  </si>
  <si>
    <t>Results</t>
  </si>
  <si>
    <t>Results by Fuel Type</t>
  </si>
  <si>
    <t>Total GHG (metric tons)</t>
  </si>
  <si>
    <t>Total, NHS GHG (metric tons</t>
  </si>
  <si>
    <t>Inputs and Summary Results</t>
  </si>
  <si>
    <t>Fuel Efficiency, Non-EV (mpg)</t>
  </si>
  <si>
    <t>Future Percent of Work Trips Driving Alone</t>
  </si>
  <si>
    <t>Future Auto Fuel Efficiency, Non-EV (mpg)</t>
  </si>
  <si>
    <t>Future EV Percent of Auto Fleet</t>
  </si>
  <si>
    <t>Test Value</t>
  </si>
  <si>
    <t>Test</t>
  </si>
  <si>
    <t>Sensitivity Analysis</t>
  </si>
  <si>
    <t>Total, NHS GHG (metric tons)</t>
  </si>
  <si>
    <t>DRAFT AASHTO State-Level Transportation GHG Calculator</t>
  </si>
  <si>
    <t>Test Parameters</t>
  </si>
  <si>
    <t>Data by Year</t>
  </si>
  <si>
    <t>Data from Highway Statistics</t>
  </si>
  <si>
    <t>Special Fuels (000 galllons)</t>
  </si>
  <si>
    <t>GHG</t>
  </si>
  <si>
    <t>NHS GHG</t>
  </si>
  <si>
    <t>GHG (metric tons)</t>
  </si>
  <si>
    <t>NHS GHG (metric tons)</t>
  </si>
  <si>
    <t>Data Labels</t>
  </si>
  <si>
    <t>Column Code</t>
  </si>
  <si>
    <t>Series 1</t>
  </si>
  <si>
    <t>Series 2</t>
  </si>
  <si>
    <t>Graph 1</t>
  </si>
  <si>
    <t>Graph 2</t>
  </si>
  <si>
    <t>Trend Analysis</t>
  </si>
  <si>
    <t>2019 Highway Statistics Data</t>
  </si>
  <si>
    <t>ACS 2012-2016 Estimates</t>
  </si>
  <si>
    <t>Single Unit Trucks</t>
  </si>
  <si>
    <t>SU Truck</t>
  </si>
  <si>
    <t>Percent of VMT, Single Unit Trucks and Buses</t>
  </si>
  <si>
    <t>Percent of Auto VMT for Work Trips</t>
  </si>
  <si>
    <t>VMT (millions)</t>
  </si>
  <si>
    <t>NHS VMT (millions)</t>
  </si>
  <si>
    <t>Auto Commute VMT (millions)</t>
  </si>
  <si>
    <t>last modified: 10/11/22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</si>
</sst>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0"/>
    <numFmt numFmtId="166" formatCode="#,##0.0"/>
    <numFmt numFmtId="167" formatCode="0.0%"/>
    <numFmt numFmtId="168" formatCode="_(* #,##0_);_(* \(#,##0\);_ &quot;-&quot;"/>
    <numFmt numFmtId="169" formatCode="_(* #,##0_);_(* \(#,##0\);_ &quot; -&quot;"/>
    <numFmt numFmtId="170" formatCode="0_);\(0\)"/>
    <numFmt numFmtId="171" formatCode="#,##0.000_);\(#,##0.000\)"/>
  </numFmts>
  <fonts count="17">
    <font>
      <sz val="12"/>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sz val="12"/>
      <color theme="0"/>
      <name val="Calibri"/>
      <family val="2"/>
      <scheme val="minor"/>
    </font>
    <font>
      <sz val="10"/>
      <color rgb="FF000000"/>
      <name val="Tahoma"/>
      <family val="2"/>
    </font>
    <font>
      <sz val="12"/>
      <color theme="1"/>
      <name val="Calibri"/>
      <family val="2"/>
      <charset val="128"/>
      <scheme val="minor"/>
    </font>
    <font>
      <sz val="18"/>
      <color theme="1"/>
      <name val="Calibri"/>
      <family val="2"/>
      <scheme val="minor"/>
    </font>
    <font>
      <b/>
      <sz val="18"/>
      <color theme="0"/>
      <name val="Calibri"/>
      <family val="2"/>
      <scheme val="minor"/>
    </font>
    <font>
      <b/>
      <sz val="18"/>
      <color theme="1"/>
      <name val="Calibri"/>
      <family val="2"/>
      <scheme val="minor"/>
    </font>
    <font>
      <sz val="10"/>
      <color rgb="FF000000"/>
      <name val="Calibri"/>
      <family val="2"/>
    </font>
    <font>
      <sz val="12"/>
      <name val="Calibri"/>
      <family val="2"/>
      <scheme val="minor"/>
    </font>
    <font>
      <b/>
      <sz val="12"/>
      <name val="Calibri"/>
      <family val="2"/>
      <scheme val="minor"/>
    </font>
    <font>
      <sz val="10"/>
      <color rgb="FF000000"/>
      <name val="+mn-lt"/>
      <charset val="1"/>
    </font>
    <font>
      <sz val="10"/>
      <color rgb="FF000000"/>
      <name val="Calibri"/>
      <family val="34"/>
    </font>
    <font>
      <sz val="10"/>
      <color rgb="FF000000"/>
      <name val="Calibri"/>
      <family val="2"/>
      <charset val="128"/>
    </font>
    <font>
      <sz val="10"/>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tint="0.79998168889431442"/>
        <bgColor indexed="64"/>
      </patternFill>
    </fill>
  </fills>
  <borders count="3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thin">
        <color auto="1"/>
      </left>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hair">
        <color auto="1"/>
      </top>
      <bottom style="medium">
        <color auto="1"/>
      </bottom>
      <diagonal/>
    </border>
    <border>
      <left style="hair">
        <color auto="1"/>
      </left>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style="thin">
        <color auto="1"/>
      </right>
      <top style="medium">
        <color indexed="64"/>
      </top>
      <bottom/>
      <diagonal/>
    </border>
    <border>
      <left style="thin">
        <color indexed="64"/>
      </left>
      <right style="thin">
        <color auto="1"/>
      </right>
      <top/>
      <bottom style="thin">
        <color indexed="64"/>
      </bottom>
      <diagonal/>
    </border>
    <border>
      <left style="thin">
        <color indexed="64"/>
      </left>
      <right style="thin">
        <color auto="1"/>
      </right>
      <top/>
      <bottom/>
      <diagonal/>
    </border>
    <border>
      <left style="thin">
        <color indexed="64"/>
      </left>
      <right style="thin">
        <color auto="1"/>
      </right>
      <top/>
      <bottom style="medium">
        <color indexed="64"/>
      </bottom>
      <diagonal/>
    </border>
    <border>
      <left/>
      <right style="hair">
        <color auto="1"/>
      </right>
      <top style="hair">
        <color auto="1"/>
      </top>
      <bottom style="hair">
        <color auto="1"/>
      </bottom>
      <diagonal/>
    </border>
  </borders>
  <cellStyleXfs count="3">
    <xf numFmtId="0" fontId="0" fillId="0" borderId="0"/>
    <xf numFmtId="9" fontId="1" fillId="0" borderId="0" applyFont="0" applyFill="0" applyBorder="0" applyAlignment="0" applyProtection="0"/>
    <xf numFmtId="0" fontId="6" fillId="0" borderId="0"/>
  </cellStyleXfs>
  <cellXfs count="225">
    <xf numFmtId="0" fontId="0" fillId="0" borderId="0" xfId="0"/>
    <xf numFmtId="9" fontId="0" fillId="2" borderId="2" xfId="0" applyNumberFormat="1" applyFill="1" applyBorder="1"/>
    <xf numFmtId="10" fontId="0" fillId="2" borderId="2" xfId="0" applyNumberFormat="1" applyFill="1" applyBorder="1"/>
    <xf numFmtId="165" fontId="0" fillId="2" borderId="2" xfId="0" applyNumberFormat="1" applyFill="1" applyBorder="1"/>
    <xf numFmtId="0" fontId="0" fillId="2" borderId="19" xfId="0" applyFill="1" applyBorder="1"/>
    <xf numFmtId="9" fontId="0" fillId="2" borderId="19" xfId="0" applyNumberFormat="1" applyFill="1" applyBorder="1"/>
    <xf numFmtId="0" fontId="6" fillId="3" borderId="0" xfId="2" applyFill="1"/>
    <xf numFmtId="0" fontId="6" fillId="0" borderId="0" xfId="2"/>
    <xf numFmtId="0" fontId="7" fillId="3" borderId="0" xfId="2" applyFont="1" applyFill="1"/>
    <xf numFmtId="0" fontId="7" fillId="4" borderId="0" xfId="2" applyFont="1" applyFill="1"/>
    <xf numFmtId="0" fontId="8" fillId="4" borderId="0" xfId="2" applyFont="1" applyFill="1"/>
    <xf numFmtId="0" fontId="9" fillId="4" borderId="0" xfId="2" applyFont="1" applyFill="1"/>
    <xf numFmtId="0" fontId="4" fillId="4" borderId="0" xfId="2" applyFont="1" applyFill="1" applyAlignment="1">
      <alignment horizontal="right"/>
    </xf>
    <xf numFmtId="0" fontId="7" fillId="0" borderId="0" xfId="2" applyFont="1"/>
    <xf numFmtId="0" fontId="8" fillId="4" borderId="0" xfId="2" quotePrefix="1" applyFont="1" applyFill="1"/>
    <xf numFmtId="0" fontId="9" fillId="4" borderId="0" xfId="2" quotePrefix="1" applyFont="1" applyFill="1"/>
    <xf numFmtId="0" fontId="2" fillId="3" borderId="0" xfId="2" applyFont="1" applyFill="1"/>
    <xf numFmtId="0" fontId="3" fillId="3" borderId="0" xfId="2" applyFont="1" applyFill="1"/>
    <xf numFmtId="0" fontId="2" fillId="3" borderId="1" xfId="2" applyFont="1" applyFill="1" applyBorder="1" applyAlignment="1">
      <alignment horizontal="center" vertical="center"/>
    </xf>
    <xf numFmtId="0" fontId="2" fillId="3" borderId="1" xfId="2" applyFont="1" applyFill="1" applyBorder="1" applyAlignment="1">
      <alignment horizontal="center"/>
    </xf>
    <xf numFmtId="0" fontId="6" fillId="3" borderId="1" xfId="2" applyFill="1" applyBorder="1"/>
    <xf numFmtId="0" fontId="2" fillId="3" borderId="1" xfId="2" applyFont="1" applyFill="1" applyBorder="1"/>
    <xf numFmtId="0" fontId="2" fillId="3" borderId="16" xfId="2" applyFont="1" applyFill="1" applyBorder="1" applyAlignment="1">
      <alignment horizontal="left" vertical="center"/>
    </xf>
    <xf numFmtId="0" fontId="2" fillId="3" borderId="17" xfId="2" applyFont="1" applyFill="1" applyBorder="1" applyAlignment="1">
      <alignment horizontal="right"/>
    </xf>
    <xf numFmtId="0" fontId="2" fillId="3" borderId="0" xfId="2" applyFont="1" applyFill="1" applyAlignment="1">
      <alignment horizontal="right"/>
    </xf>
    <xf numFmtId="0" fontId="2" fillId="3" borderId="10" xfId="2" applyFont="1" applyFill="1" applyBorder="1"/>
    <xf numFmtId="0" fontId="2" fillId="3" borderId="11" xfId="2" applyFont="1" applyFill="1" applyBorder="1" applyAlignment="1">
      <alignment horizontal="right"/>
    </xf>
    <xf numFmtId="1" fontId="6" fillId="3" borderId="0" xfId="2" applyNumberFormat="1" applyFill="1" applyAlignment="1">
      <alignment horizontal="center"/>
    </xf>
    <xf numFmtId="1" fontId="6" fillId="5" borderId="21" xfId="2" applyNumberFormat="1" applyFill="1" applyBorder="1" applyAlignment="1" applyProtection="1">
      <alignment horizontal="center"/>
      <protection locked="0"/>
    </xf>
    <xf numFmtId="0" fontId="6" fillId="3" borderId="0" xfId="2" applyFill="1" applyProtection="1">
      <protection locked="0"/>
    </xf>
    <xf numFmtId="0" fontId="6" fillId="3" borderId="10" xfId="2" applyFill="1" applyBorder="1"/>
    <xf numFmtId="1" fontId="6" fillId="3" borderId="11" xfId="2" applyNumberFormat="1" applyFill="1" applyBorder="1" applyAlignment="1">
      <alignment horizontal="right"/>
    </xf>
    <xf numFmtId="3" fontId="6" fillId="3" borderId="0" xfId="2" applyNumberFormat="1" applyFill="1" applyProtection="1">
      <protection locked="0"/>
    </xf>
    <xf numFmtId="4" fontId="6" fillId="3" borderId="0" xfId="2" applyNumberFormat="1" applyFill="1" applyAlignment="1">
      <alignment horizontal="center"/>
    </xf>
    <xf numFmtId="2" fontId="6" fillId="3" borderId="0" xfId="2" applyNumberFormat="1" applyFill="1" applyAlignment="1">
      <alignment horizontal="center"/>
    </xf>
    <xf numFmtId="4" fontId="6" fillId="3" borderId="11" xfId="2" applyNumberFormat="1" applyFill="1" applyBorder="1" applyAlignment="1">
      <alignment horizontal="right"/>
    </xf>
    <xf numFmtId="0" fontId="6" fillId="3" borderId="0" xfId="2" applyFill="1" applyAlignment="1">
      <alignment horizontal="center"/>
    </xf>
    <xf numFmtId="3" fontId="6" fillId="3" borderId="11" xfId="2" applyNumberFormat="1" applyFill="1" applyBorder="1" applyAlignment="1">
      <alignment horizontal="right"/>
    </xf>
    <xf numFmtId="0" fontId="6" fillId="3" borderId="11" xfId="2" applyFill="1" applyBorder="1" applyAlignment="1">
      <alignment horizontal="right"/>
    </xf>
    <xf numFmtId="0" fontId="6" fillId="3" borderId="12" xfId="2" applyFill="1" applyBorder="1"/>
    <xf numFmtId="9" fontId="6" fillId="3" borderId="0" xfId="2" applyNumberFormat="1" applyFill="1" applyAlignment="1">
      <alignment horizontal="center"/>
    </xf>
    <xf numFmtId="0" fontId="6" fillId="3" borderId="5" xfId="2" applyFill="1" applyBorder="1"/>
    <xf numFmtId="0" fontId="6" fillId="3" borderId="0" xfId="2" applyFill="1" applyAlignment="1">
      <alignment horizontal="right"/>
    </xf>
    <xf numFmtId="9" fontId="6" fillId="3" borderId="11" xfId="2" applyNumberFormat="1" applyFill="1" applyBorder="1" applyAlignment="1">
      <alignment horizontal="right"/>
    </xf>
    <xf numFmtId="2" fontId="6" fillId="5" borderId="21" xfId="2" applyNumberFormat="1" applyFill="1" applyBorder="1" applyAlignment="1" applyProtection="1">
      <alignment horizontal="center"/>
      <protection locked="0"/>
    </xf>
    <xf numFmtId="2" fontId="6" fillId="3" borderId="11" xfId="2" applyNumberFormat="1" applyFill="1" applyBorder="1" applyAlignment="1">
      <alignment horizontal="right"/>
    </xf>
    <xf numFmtId="4" fontId="6" fillId="5" borderId="21" xfId="2" applyNumberFormat="1" applyFill="1" applyBorder="1" applyAlignment="1" applyProtection="1">
      <alignment horizontal="center"/>
      <protection locked="0"/>
    </xf>
    <xf numFmtId="1" fontId="6" fillId="3" borderId="0" xfId="2" applyNumberFormat="1" applyFill="1" applyAlignment="1">
      <alignment horizontal="right"/>
    </xf>
    <xf numFmtId="0" fontId="2" fillId="3" borderId="4" xfId="2" applyFont="1" applyFill="1" applyBorder="1"/>
    <xf numFmtId="0" fontId="2" fillId="3" borderId="5" xfId="2" applyFont="1" applyFill="1" applyBorder="1"/>
    <xf numFmtId="0" fontId="2" fillId="3" borderId="6" xfId="2" applyFont="1" applyFill="1" applyBorder="1"/>
    <xf numFmtId="0" fontId="2" fillId="3" borderId="7" xfId="2" applyFont="1" applyFill="1" applyBorder="1"/>
    <xf numFmtId="0" fontId="2" fillId="3" borderId="8" xfId="2" applyFont="1" applyFill="1" applyBorder="1"/>
    <xf numFmtId="0" fontId="2" fillId="3" borderId="3" xfId="2" applyFont="1" applyFill="1" applyBorder="1" applyAlignment="1">
      <alignment horizontal="center"/>
    </xf>
    <xf numFmtId="0" fontId="2" fillId="3" borderId="9" xfId="2" applyFont="1" applyFill="1" applyBorder="1" applyAlignment="1">
      <alignment horizontal="center"/>
    </xf>
    <xf numFmtId="0" fontId="6" fillId="3" borderId="11" xfId="2" applyFill="1" applyBorder="1"/>
    <xf numFmtId="166" fontId="6" fillId="3" borderId="11" xfId="2" applyNumberFormat="1" applyFill="1" applyBorder="1" applyAlignment="1">
      <alignment horizontal="right"/>
    </xf>
    <xf numFmtId="166" fontId="6" fillId="3" borderId="15" xfId="2" applyNumberFormat="1" applyFill="1" applyBorder="1" applyAlignment="1">
      <alignment horizontal="right"/>
    </xf>
    <xf numFmtId="0" fontId="6" fillId="3" borderId="13" xfId="2" applyFill="1" applyBorder="1"/>
    <xf numFmtId="10" fontId="6" fillId="3" borderId="0" xfId="1" applyNumberFormat="1" applyFont="1" applyFill="1"/>
    <xf numFmtId="3" fontId="6" fillId="3" borderId="0" xfId="2" applyNumberFormat="1" applyFill="1" applyAlignment="1">
      <alignment horizontal="center"/>
    </xf>
    <xf numFmtId="9" fontId="6" fillId="3" borderId="0" xfId="1" applyFont="1" applyFill="1" applyAlignment="1">
      <alignment horizontal="center"/>
    </xf>
    <xf numFmtId="167" fontId="6" fillId="3" borderId="0" xfId="1" applyNumberFormat="1" applyFont="1" applyFill="1" applyAlignment="1">
      <alignment horizontal="center"/>
    </xf>
    <xf numFmtId="0" fontId="6" fillId="3" borderId="12" xfId="2" applyFill="1" applyBorder="1" applyAlignment="1">
      <alignment horizontal="left"/>
    </xf>
    <xf numFmtId="10" fontId="6" fillId="5" borderId="23" xfId="2" applyNumberFormat="1" applyFill="1" applyBorder="1" applyProtection="1">
      <protection locked="0"/>
    </xf>
    <xf numFmtId="10" fontId="6" fillId="5" borderId="24" xfId="2" applyNumberFormat="1" applyFill="1" applyBorder="1" applyProtection="1">
      <protection locked="0"/>
    </xf>
    <xf numFmtId="10" fontId="6" fillId="5" borderId="26" xfId="2" applyNumberFormat="1" applyFill="1" applyBorder="1" applyProtection="1">
      <protection locked="0"/>
    </xf>
    <xf numFmtId="10" fontId="6" fillId="5" borderId="28" xfId="2" applyNumberFormat="1" applyFill="1" applyBorder="1" applyProtection="1">
      <protection locked="0"/>
    </xf>
    <xf numFmtId="0" fontId="6" fillId="3" borderId="4" xfId="2" applyFill="1" applyBorder="1"/>
    <xf numFmtId="0" fontId="2" fillId="3" borderId="5" xfId="2" applyFont="1" applyFill="1" applyBorder="1" applyAlignment="1">
      <alignment wrapText="1"/>
    </xf>
    <xf numFmtId="0" fontId="6" fillId="3" borderId="5" xfId="2" applyFill="1" applyBorder="1" applyAlignment="1">
      <alignment wrapText="1"/>
    </xf>
    <xf numFmtId="0" fontId="2" fillId="3" borderId="9" xfId="2" applyFont="1" applyFill="1" applyBorder="1" applyAlignment="1">
      <alignment horizontal="right" wrapText="1"/>
    </xf>
    <xf numFmtId="3" fontId="6" fillId="3" borderId="0" xfId="2" applyNumberFormat="1" applyFill="1"/>
    <xf numFmtId="3" fontId="6" fillId="3" borderId="0" xfId="1" applyNumberFormat="1" applyFont="1" applyFill="1" applyBorder="1"/>
    <xf numFmtId="10" fontId="6" fillId="3" borderId="11" xfId="1" applyNumberFormat="1" applyFont="1" applyFill="1" applyBorder="1"/>
    <xf numFmtId="3" fontId="6" fillId="3" borderId="13" xfId="2" applyNumberFormat="1" applyFill="1" applyBorder="1"/>
    <xf numFmtId="3" fontId="6" fillId="3" borderId="13" xfId="1" applyNumberFormat="1" applyFont="1" applyFill="1" applyBorder="1"/>
    <xf numFmtId="10" fontId="6" fillId="3" borderId="15" xfId="1" applyNumberFormat="1" applyFont="1" applyFill="1" applyBorder="1"/>
    <xf numFmtId="3" fontId="6" fillId="3" borderId="2" xfId="2" applyNumberFormat="1" applyFill="1" applyBorder="1"/>
    <xf numFmtId="3" fontId="6" fillId="3" borderId="14" xfId="2" applyNumberFormat="1" applyFill="1" applyBorder="1"/>
    <xf numFmtId="0" fontId="2" fillId="3" borderId="3" xfId="2" applyFont="1" applyFill="1" applyBorder="1" applyAlignment="1">
      <alignment horizontal="right" wrapText="1"/>
    </xf>
    <xf numFmtId="10" fontId="6" fillId="3" borderId="2" xfId="1" applyNumberFormat="1" applyFont="1" applyFill="1" applyBorder="1"/>
    <xf numFmtId="10" fontId="6" fillId="3" borderId="14" xfId="1" applyNumberFormat="1" applyFont="1" applyFill="1" applyBorder="1"/>
    <xf numFmtId="166" fontId="6" fillId="3" borderId="0" xfId="2" applyNumberFormat="1" applyFill="1" applyAlignment="1">
      <alignment horizontal="center"/>
    </xf>
    <xf numFmtId="165" fontId="6" fillId="5" borderId="21" xfId="2" applyNumberFormat="1" applyFill="1" applyBorder="1" applyAlignment="1" applyProtection="1">
      <alignment horizontal="center"/>
      <protection locked="0"/>
    </xf>
    <xf numFmtId="167" fontId="6" fillId="5" borderId="21" xfId="2" applyNumberFormat="1" applyFill="1" applyBorder="1" applyAlignment="1" applyProtection="1">
      <alignment horizontal="center"/>
      <protection locked="0"/>
    </xf>
    <xf numFmtId="167" fontId="6" fillId="3" borderId="0" xfId="2" applyNumberFormat="1" applyFill="1" applyAlignment="1">
      <alignment horizontal="center"/>
    </xf>
    <xf numFmtId="0" fontId="2" fillId="3" borderId="3" xfId="2" applyFont="1" applyFill="1" applyBorder="1" applyAlignment="1">
      <alignment horizontal="center" vertical="center"/>
    </xf>
    <xf numFmtId="0" fontId="2" fillId="3" borderId="9" xfId="2" applyFont="1" applyFill="1" applyBorder="1" applyAlignment="1">
      <alignment horizontal="center" vertical="center"/>
    </xf>
    <xf numFmtId="165" fontId="6" fillId="3" borderId="0" xfId="1" applyNumberFormat="1" applyFont="1" applyFill="1" applyBorder="1" applyAlignment="1">
      <alignment horizontal="right"/>
    </xf>
    <xf numFmtId="9" fontId="6" fillId="3" borderId="0" xfId="1" applyFont="1" applyFill="1" applyBorder="1" applyAlignment="1">
      <alignment horizontal="right"/>
    </xf>
    <xf numFmtId="9" fontId="6" fillId="3" borderId="13" xfId="1" applyFont="1" applyFill="1" applyBorder="1" applyAlignment="1">
      <alignment horizontal="right"/>
    </xf>
    <xf numFmtId="165" fontId="6" fillId="5" borderId="23" xfId="2" applyNumberFormat="1" applyFill="1" applyBorder="1" applyProtection="1">
      <protection locked="0"/>
    </xf>
    <xf numFmtId="165" fontId="6" fillId="5" borderId="25" xfId="2" applyNumberFormat="1" applyFill="1" applyBorder="1" applyProtection="1">
      <protection locked="0"/>
    </xf>
    <xf numFmtId="165" fontId="6" fillId="5" borderId="24" xfId="2" applyNumberFormat="1" applyFill="1" applyBorder="1" applyProtection="1">
      <protection locked="0"/>
    </xf>
    <xf numFmtId="9" fontId="6" fillId="5" borderId="23" xfId="2" applyNumberFormat="1" applyFill="1" applyBorder="1" applyProtection="1">
      <protection locked="0"/>
    </xf>
    <xf numFmtId="9" fontId="6" fillId="5" borderId="25" xfId="2" applyNumberFormat="1" applyFill="1" applyBorder="1" applyProtection="1">
      <protection locked="0"/>
    </xf>
    <xf numFmtId="9" fontId="6" fillId="5" borderId="24" xfId="2" applyNumberFormat="1" applyFill="1" applyBorder="1" applyProtection="1">
      <protection locked="0"/>
    </xf>
    <xf numFmtId="9" fontId="6" fillId="5" borderId="26" xfId="2" applyNumberFormat="1" applyFill="1" applyBorder="1" applyProtection="1">
      <protection locked="0"/>
    </xf>
    <xf numFmtId="9" fontId="6" fillId="5" borderId="27" xfId="2" applyNumberFormat="1" applyFill="1" applyBorder="1" applyProtection="1">
      <protection locked="0"/>
    </xf>
    <xf numFmtId="9" fontId="6" fillId="5" borderId="28" xfId="2" applyNumberFormat="1" applyFill="1" applyBorder="1" applyProtection="1">
      <protection locked="0"/>
    </xf>
    <xf numFmtId="165" fontId="6" fillId="3" borderId="2" xfId="1" applyNumberFormat="1" applyFont="1" applyFill="1" applyBorder="1" applyAlignment="1">
      <alignment horizontal="right"/>
    </xf>
    <xf numFmtId="9" fontId="6" fillId="3" borderId="2" xfId="1" applyFont="1" applyFill="1" applyBorder="1" applyAlignment="1">
      <alignment horizontal="right"/>
    </xf>
    <xf numFmtId="9" fontId="6" fillId="3" borderId="14" xfId="1" applyFont="1" applyFill="1" applyBorder="1" applyAlignment="1">
      <alignment horizontal="right"/>
    </xf>
    <xf numFmtId="0" fontId="6" fillId="3" borderId="31" xfId="2" applyFill="1" applyBorder="1"/>
    <xf numFmtId="0" fontId="2" fillId="3" borderId="32" xfId="2" applyFont="1" applyFill="1" applyBorder="1" applyAlignment="1">
      <alignment horizontal="center" vertical="center"/>
    </xf>
    <xf numFmtId="10" fontId="6" fillId="3" borderId="33" xfId="1" applyNumberFormat="1" applyFont="1" applyFill="1" applyBorder="1" applyAlignment="1">
      <alignment horizontal="center"/>
    </xf>
    <xf numFmtId="10" fontId="6" fillId="3" borderId="34" xfId="1" applyNumberFormat="1" applyFont="1" applyFill="1" applyBorder="1" applyAlignment="1">
      <alignment horizontal="center"/>
    </xf>
    <xf numFmtId="0" fontId="3" fillId="3" borderId="0" xfId="0" applyFont="1" applyFill="1"/>
    <xf numFmtId="0" fontId="0" fillId="3" borderId="0" xfId="0" applyFill="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1" xfId="0" applyFont="1" applyFill="1" applyBorder="1"/>
    <xf numFmtId="0" fontId="2" fillId="3" borderId="3" xfId="0" applyFont="1" applyFill="1" applyBorder="1" applyAlignment="1">
      <alignment horizontal="right"/>
    </xf>
    <xf numFmtId="0" fontId="2" fillId="3" borderId="9" xfId="0" applyFont="1" applyFill="1" applyBorder="1" applyAlignment="1">
      <alignment horizontal="right"/>
    </xf>
    <xf numFmtId="0" fontId="0" fillId="3" borderId="10" xfId="0" applyFill="1" applyBorder="1"/>
    <xf numFmtId="3" fontId="0" fillId="3" borderId="2" xfId="0" applyNumberFormat="1" applyFill="1" applyBorder="1"/>
    <xf numFmtId="3" fontId="0" fillId="3" borderId="11" xfId="0" applyNumberFormat="1" applyFill="1" applyBorder="1"/>
    <xf numFmtId="0" fontId="0" fillId="3" borderId="12" xfId="0" applyFill="1" applyBorder="1"/>
    <xf numFmtId="0" fontId="0" fillId="3" borderId="13" xfId="0" applyFill="1" applyBorder="1"/>
    <xf numFmtId="3" fontId="0" fillId="3" borderId="14" xfId="0" applyNumberFormat="1" applyFill="1" applyBorder="1"/>
    <xf numFmtId="3" fontId="0" fillId="3" borderId="15" xfId="0" applyNumberFormat="1" applyFill="1" applyBorder="1"/>
    <xf numFmtId="0" fontId="2" fillId="3" borderId="16" xfId="0" applyFont="1" applyFill="1" applyBorder="1"/>
    <xf numFmtId="0" fontId="2" fillId="3" borderId="30" xfId="0" applyFont="1" applyFill="1" applyBorder="1"/>
    <xf numFmtId="0" fontId="2" fillId="3" borderId="29" xfId="0" applyFont="1" applyFill="1" applyBorder="1" applyAlignment="1">
      <alignment horizontal="right"/>
    </xf>
    <xf numFmtId="0" fontId="2" fillId="3" borderId="17" xfId="0" applyFont="1" applyFill="1" applyBorder="1" applyAlignment="1">
      <alignment horizontal="right"/>
    </xf>
    <xf numFmtId="0" fontId="2" fillId="3" borderId="18" xfId="0" applyFont="1" applyFill="1" applyBorder="1" applyAlignment="1">
      <alignment horizontal="right"/>
    </xf>
    <xf numFmtId="3" fontId="0" fillId="3" borderId="19" xfId="0" applyNumberFormat="1" applyFill="1" applyBorder="1"/>
    <xf numFmtId="3" fontId="0" fillId="3" borderId="20" xfId="0" applyNumberFormat="1" applyFill="1" applyBorder="1"/>
    <xf numFmtId="0" fontId="0" fillId="3" borderId="19" xfId="0" applyFill="1" applyBorder="1"/>
    <xf numFmtId="9" fontId="0" fillId="3" borderId="19" xfId="0" applyNumberFormat="1" applyFill="1" applyBorder="1"/>
    <xf numFmtId="165" fontId="0" fillId="3" borderId="19" xfId="0" applyNumberFormat="1" applyFill="1" applyBorder="1"/>
    <xf numFmtId="2" fontId="0" fillId="3" borderId="19" xfId="0" applyNumberFormat="1" applyFill="1" applyBorder="1"/>
    <xf numFmtId="9" fontId="0" fillId="3" borderId="20" xfId="0" applyNumberFormat="1" applyFill="1" applyBorder="1"/>
    <xf numFmtId="0" fontId="2" fillId="3" borderId="3" xfId="0" applyFont="1" applyFill="1" applyBorder="1" applyAlignment="1">
      <alignment horizontal="right" wrapText="1"/>
    </xf>
    <xf numFmtId="0" fontId="2" fillId="3" borderId="1" xfId="0" applyFont="1" applyFill="1" applyBorder="1" applyAlignment="1">
      <alignment horizontal="right" wrapText="1"/>
    </xf>
    <xf numFmtId="0" fontId="2" fillId="3" borderId="9" xfId="0" applyFont="1" applyFill="1" applyBorder="1" applyAlignment="1">
      <alignment horizontal="right" wrapText="1"/>
    </xf>
    <xf numFmtId="10" fontId="0" fillId="3" borderId="2" xfId="0" applyNumberFormat="1" applyFill="1" applyBorder="1"/>
    <xf numFmtId="10" fontId="0" fillId="3" borderId="0" xfId="0" applyNumberFormat="1" applyFill="1"/>
    <xf numFmtId="3" fontId="0" fillId="3" borderId="0" xfId="0" applyNumberFormat="1" applyFill="1"/>
    <xf numFmtId="10" fontId="0" fillId="3" borderId="14" xfId="0" applyNumberFormat="1" applyFill="1" applyBorder="1"/>
    <xf numFmtId="10" fontId="0" fillId="3" borderId="13" xfId="0" applyNumberFormat="1" applyFill="1" applyBorder="1"/>
    <xf numFmtId="3" fontId="0" fillId="3" borderId="13" xfId="0" applyNumberFormat="1" applyFill="1" applyBorder="1"/>
    <xf numFmtId="0" fontId="0" fillId="3" borderId="4" xfId="0" applyFill="1" applyBorder="1"/>
    <xf numFmtId="0" fontId="0" fillId="3" borderId="5" xfId="0" applyFill="1" applyBorder="1"/>
    <xf numFmtId="0" fontId="0" fillId="3" borderId="7" xfId="0" applyFill="1" applyBorder="1"/>
    <xf numFmtId="0" fontId="2" fillId="3" borderId="1" xfId="0" applyFont="1" applyFill="1" applyBorder="1" applyAlignment="1">
      <alignment horizontal="right"/>
    </xf>
    <xf numFmtId="165" fontId="0" fillId="3" borderId="2" xfId="0" applyNumberFormat="1" applyFill="1" applyBorder="1"/>
    <xf numFmtId="165" fontId="0" fillId="3" borderId="0" xfId="0" applyNumberFormat="1" applyFill="1"/>
    <xf numFmtId="165" fontId="0" fillId="3" borderId="11" xfId="0" applyNumberFormat="1" applyFill="1" applyBorder="1"/>
    <xf numFmtId="9" fontId="0" fillId="3" borderId="2" xfId="0" applyNumberFormat="1" applyFill="1" applyBorder="1"/>
    <xf numFmtId="9" fontId="0" fillId="3" borderId="0" xfId="0" applyNumberFormat="1" applyFill="1"/>
    <xf numFmtId="9" fontId="0" fillId="3" borderId="0" xfId="1" applyFont="1" applyFill="1" applyBorder="1"/>
    <xf numFmtId="9" fontId="0" fillId="3" borderId="11" xfId="1" applyFont="1" applyFill="1" applyBorder="1"/>
    <xf numFmtId="9" fontId="0" fillId="3" borderId="14" xfId="0" applyNumberFormat="1" applyFill="1" applyBorder="1"/>
    <xf numFmtId="9" fontId="0" fillId="3" borderId="13" xfId="0" applyNumberFormat="1" applyFill="1" applyBorder="1"/>
    <xf numFmtId="9" fontId="0" fillId="3" borderId="13" xfId="1" applyFont="1" applyFill="1" applyBorder="1"/>
    <xf numFmtId="9" fontId="0" fillId="3" borderId="15" xfId="1" applyFont="1" applyFill="1" applyBorder="1"/>
    <xf numFmtId="164" fontId="0" fillId="3" borderId="2" xfId="0" applyNumberFormat="1" applyFill="1" applyBorder="1"/>
    <xf numFmtId="164" fontId="0" fillId="3" borderId="0" xfId="0" applyNumberFormat="1" applyFill="1"/>
    <xf numFmtId="164" fontId="0" fillId="3" borderId="11" xfId="0" applyNumberFormat="1" applyFill="1" applyBorder="1"/>
    <xf numFmtId="164" fontId="0" fillId="3" borderId="14" xfId="0" applyNumberFormat="1" applyFill="1" applyBorder="1"/>
    <xf numFmtId="164" fontId="0" fillId="3" borderId="13" xfId="0" applyNumberFormat="1" applyFill="1" applyBorder="1"/>
    <xf numFmtId="164" fontId="0" fillId="3" borderId="15" xfId="0" applyNumberFormat="1" applyFill="1" applyBorder="1"/>
    <xf numFmtId="167" fontId="0" fillId="3" borderId="19" xfId="0" applyNumberFormat="1" applyFill="1" applyBorder="1"/>
    <xf numFmtId="9" fontId="6" fillId="5" borderId="21" xfId="1" applyFont="1" applyFill="1" applyBorder="1" applyAlignment="1" applyProtection="1">
      <alignment horizontal="center"/>
      <protection locked="0"/>
    </xf>
    <xf numFmtId="1" fontId="6" fillId="3" borderId="21" xfId="2" applyNumberFormat="1" applyFill="1" applyBorder="1" applyAlignment="1" applyProtection="1">
      <alignment horizontal="center"/>
      <protection locked="0"/>
    </xf>
    <xf numFmtId="0" fontId="6" fillId="3" borderId="0" xfId="2" applyFill="1" applyAlignment="1" applyProtection="1">
      <alignment horizontal="center"/>
      <protection locked="0"/>
    </xf>
    <xf numFmtId="9" fontId="6" fillId="3" borderId="21" xfId="2" applyNumberFormat="1" applyFill="1" applyBorder="1" applyAlignment="1" applyProtection="1">
      <alignment horizontal="center"/>
      <protection locked="0"/>
    </xf>
    <xf numFmtId="2" fontId="6" fillId="3" borderId="21" xfId="2" applyNumberFormat="1" applyFill="1" applyBorder="1" applyAlignment="1" applyProtection="1">
      <alignment horizontal="center"/>
      <protection locked="0"/>
    </xf>
    <xf numFmtId="167" fontId="6" fillId="3" borderId="22" xfId="2" applyNumberFormat="1" applyFill="1" applyBorder="1" applyAlignment="1" applyProtection="1">
      <alignment horizontal="center"/>
      <protection locked="0"/>
    </xf>
    <xf numFmtId="167" fontId="6" fillId="3" borderId="0" xfId="2" applyNumberFormat="1" applyFill="1" applyAlignment="1" applyProtection="1">
      <alignment horizontal="center"/>
      <protection locked="0"/>
    </xf>
    <xf numFmtId="0" fontId="2" fillId="3" borderId="0" xfId="0" applyFont="1" applyFill="1"/>
    <xf numFmtId="9" fontId="6" fillId="3" borderId="0" xfId="2" applyNumberFormat="1" applyFill="1" applyAlignment="1" applyProtection="1">
      <alignment horizontal="center"/>
      <protection locked="0"/>
    </xf>
    <xf numFmtId="170" fontId="11" fillId="3" borderId="0" xfId="0" applyNumberFormat="1" applyFont="1" applyFill="1" applyAlignment="1">
      <alignment horizontal="center" vertical="center"/>
    </xf>
    <xf numFmtId="0" fontId="2" fillId="3" borderId="3" xfId="0" applyFont="1" applyFill="1" applyBorder="1"/>
    <xf numFmtId="0" fontId="2" fillId="3" borderId="9" xfId="0" applyFont="1" applyFill="1" applyBorder="1"/>
    <xf numFmtId="168" fontId="11" fillId="3" borderId="10" xfId="0" applyNumberFormat="1" applyFont="1" applyFill="1" applyBorder="1" applyAlignment="1">
      <alignment horizontal="left" vertical="center"/>
    </xf>
    <xf numFmtId="168" fontId="11" fillId="3" borderId="2" xfId="0" applyNumberFormat="1" applyFont="1" applyFill="1" applyBorder="1" applyAlignment="1">
      <alignment horizontal="center" vertical="center"/>
    </xf>
    <xf numFmtId="37" fontId="11" fillId="3" borderId="0" xfId="0" applyNumberFormat="1" applyFont="1" applyFill="1" applyAlignment="1">
      <alignment vertical="center"/>
    </xf>
    <xf numFmtId="0" fontId="0" fillId="3" borderId="2" xfId="0" applyFill="1" applyBorder="1"/>
    <xf numFmtId="169" fontId="11" fillId="3" borderId="2" xfId="0" applyNumberFormat="1" applyFont="1" applyFill="1" applyBorder="1" applyAlignment="1">
      <alignment horizontal="center" vertical="center"/>
    </xf>
    <xf numFmtId="169" fontId="11" fillId="3" borderId="0" xfId="0" applyNumberFormat="1" applyFont="1" applyFill="1" applyAlignment="1">
      <alignment horizontal="center" vertical="center"/>
    </xf>
    <xf numFmtId="169" fontId="11" fillId="3" borderId="0" xfId="2" applyNumberFormat="1" applyFont="1" applyFill="1" applyAlignment="1">
      <alignment horizontal="center" vertical="center"/>
    </xf>
    <xf numFmtId="169" fontId="11" fillId="3" borderId="0" xfId="0" applyNumberFormat="1" applyFont="1" applyFill="1" applyAlignment="1">
      <alignment vertical="center"/>
    </xf>
    <xf numFmtId="169" fontId="11" fillId="3" borderId="2" xfId="2" applyNumberFormat="1" applyFont="1" applyFill="1" applyBorder="1" applyAlignment="1">
      <alignment horizontal="center" vertical="center"/>
    </xf>
    <xf numFmtId="169" fontId="11" fillId="3" borderId="11" xfId="2" applyNumberFormat="1" applyFont="1" applyFill="1" applyBorder="1" applyAlignment="1">
      <alignment horizontal="center" vertical="center"/>
    </xf>
    <xf numFmtId="168" fontId="11" fillId="3" borderId="0" xfId="0" applyNumberFormat="1" applyFont="1" applyFill="1" applyAlignment="1">
      <alignment horizontal="center" vertical="center"/>
    </xf>
    <xf numFmtId="169" fontId="0" fillId="3" borderId="0" xfId="0" applyNumberFormat="1" applyFill="1" applyAlignment="1">
      <alignment horizontal="center" vertical="center"/>
    </xf>
    <xf numFmtId="170" fontId="0" fillId="3" borderId="0" xfId="0" applyNumberFormat="1" applyFill="1"/>
    <xf numFmtId="37" fontId="11" fillId="3" borderId="0" xfId="0" applyNumberFormat="1" applyFont="1" applyFill="1" applyAlignment="1">
      <alignment horizontal="right" vertical="center"/>
    </xf>
    <xf numFmtId="0" fontId="11" fillId="3" borderId="10" xfId="0" applyFont="1" applyFill="1" applyBorder="1" applyAlignment="1">
      <alignment vertical="center"/>
    </xf>
    <xf numFmtId="3" fontId="11" fillId="3" borderId="0" xfId="0" applyNumberFormat="1" applyFont="1" applyFill="1" applyAlignment="1">
      <alignment horizontal="right" vertical="center"/>
    </xf>
    <xf numFmtId="168" fontId="11" fillId="3" borderId="12" xfId="0" applyNumberFormat="1" applyFont="1" applyFill="1" applyBorder="1" applyAlignment="1">
      <alignment horizontal="left" vertical="center"/>
    </xf>
    <xf numFmtId="168" fontId="11" fillId="3" borderId="14" xfId="0" applyNumberFormat="1" applyFont="1" applyFill="1" applyBorder="1" applyAlignment="1">
      <alignment horizontal="center" vertical="center"/>
    </xf>
    <xf numFmtId="168" fontId="11" fillId="3" borderId="13" xfId="0" applyNumberFormat="1" applyFont="1" applyFill="1" applyBorder="1" applyAlignment="1">
      <alignment horizontal="center" vertical="center"/>
    </xf>
    <xf numFmtId="0" fontId="0" fillId="3" borderId="14" xfId="0" applyFill="1" applyBorder="1"/>
    <xf numFmtId="169" fontId="11" fillId="3" borderId="14" xfId="0" applyNumberFormat="1" applyFont="1" applyFill="1" applyBorder="1" applyAlignment="1">
      <alignment horizontal="center" vertical="center"/>
    </xf>
    <xf numFmtId="169" fontId="11" fillId="3" borderId="13" xfId="0" applyNumberFormat="1" applyFont="1" applyFill="1" applyBorder="1" applyAlignment="1">
      <alignment horizontal="center" vertical="center"/>
    </xf>
    <xf numFmtId="169" fontId="11" fillId="3" borderId="13" xfId="2" applyNumberFormat="1" applyFont="1" applyFill="1" applyBorder="1" applyAlignment="1">
      <alignment horizontal="center" vertical="center"/>
    </xf>
    <xf numFmtId="169" fontId="11" fillId="3" borderId="13" xfId="0" applyNumberFormat="1" applyFont="1" applyFill="1" applyBorder="1" applyAlignment="1">
      <alignment vertical="center"/>
    </xf>
    <xf numFmtId="169" fontId="11" fillId="3" borderId="14" xfId="2" applyNumberFormat="1" applyFont="1" applyFill="1" applyBorder="1" applyAlignment="1">
      <alignment horizontal="center" vertical="center"/>
    </xf>
    <xf numFmtId="169" fontId="11" fillId="3" borderId="15" xfId="2" applyNumberFormat="1" applyFont="1" applyFill="1" applyBorder="1" applyAlignment="1">
      <alignment horizontal="center" vertical="center"/>
    </xf>
    <xf numFmtId="169" fontId="12" fillId="3" borderId="0" xfId="0" applyNumberFormat="1" applyFont="1" applyFill="1" applyAlignment="1">
      <alignment horizontal="center" vertical="center"/>
    </xf>
    <xf numFmtId="169" fontId="12" fillId="3" borderId="0" xfId="0" applyNumberFormat="1" applyFont="1" applyFill="1" applyAlignment="1">
      <alignment vertical="center"/>
    </xf>
    <xf numFmtId="0" fontId="0" fillId="3" borderId="11" xfId="0" applyFill="1" applyBorder="1"/>
    <xf numFmtId="0" fontId="0" fillId="3" borderId="15" xfId="0" applyFill="1" applyBorder="1"/>
    <xf numFmtId="0" fontId="0" fillId="3" borderId="30" xfId="0" applyFill="1" applyBorder="1"/>
    <xf numFmtId="0" fontId="0" fillId="3" borderId="17" xfId="0" applyFill="1" applyBorder="1"/>
    <xf numFmtId="0" fontId="3" fillId="3" borderId="16" xfId="0" applyFont="1" applyFill="1" applyBorder="1"/>
    <xf numFmtId="0" fontId="2" fillId="3" borderId="6" xfId="2" applyFont="1" applyFill="1" applyBorder="1" applyAlignment="1">
      <alignment horizontal="left"/>
    </xf>
    <xf numFmtId="0" fontId="6" fillId="3" borderId="7" xfId="2" applyFill="1" applyBorder="1"/>
    <xf numFmtId="0" fontId="2" fillId="3" borderId="1" xfId="2" applyFont="1" applyFill="1" applyBorder="1" applyAlignment="1">
      <alignment horizontal="right" wrapText="1"/>
    </xf>
    <xf numFmtId="37" fontId="0" fillId="3" borderId="0" xfId="0" applyNumberFormat="1" applyFill="1"/>
    <xf numFmtId="39" fontId="0" fillId="3" borderId="0" xfId="0" applyNumberFormat="1" applyFill="1"/>
    <xf numFmtId="171" fontId="0" fillId="3" borderId="0" xfId="0" applyNumberFormat="1" applyFill="1"/>
    <xf numFmtId="10" fontId="6" fillId="5" borderId="21" xfId="2" applyNumberFormat="1" applyFill="1" applyBorder="1" applyAlignment="1" applyProtection="1">
      <alignment horizontal="center"/>
      <protection locked="0"/>
    </xf>
    <xf numFmtId="10" fontId="6" fillId="3" borderId="0" xfId="1" applyNumberFormat="1" applyFont="1" applyFill="1" applyAlignment="1">
      <alignment horizontal="center"/>
    </xf>
    <xf numFmtId="3" fontId="6" fillId="5" borderId="21" xfId="2" applyNumberFormat="1" applyFill="1" applyBorder="1" applyAlignment="1" applyProtection="1">
      <alignment horizontal="center"/>
      <protection locked="0"/>
    </xf>
    <xf numFmtId="0" fontId="8" fillId="4" borderId="0" xfId="2" quotePrefix="1" applyFont="1" applyFill="1" applyAlignment="1">
      <alignment horizontal="left"/>
    </xf>
    <xf numFmtId="0" fontId="0" fillId="5" borderId="25" xfId="0" applyFill="1" applyBorder="1" applyAlignment="1" applyProtection="1">
      <alignment horizontal="left"/>
      <protection locked="0"/>
    </xf>
    <xf numFmtId="0" fontId="0" fillId="5" borderId="35" xfId="0" applyFill="1" applyBorder="1" applyAlignment="1" applyProtection="1">
      <alignment horizontal="left"/>
      <protection locked="0"/>
    </xf>
  </cellXfs>
  <cellStyles count="3">
    <cellStyle name="Normal" xfId="0" builtinId="0"/>
    <cellStyle name="Normal 2" xfId="2" xr:uid="{FD4AAA79-5C3A-704C-A41F-131BE21126CC}"/>
    <cellStyle name="Percent" xfId="1" builtinId="5"/>
  </cellStyles>
  <dxfs count="13">
    <dxf>
      <font>
        <color theme="0" tint="-4.9989318521683403E-2"/>
      </font>
      <fill>
        <patternFill patternType="solid">
          <fgColor indexed="64"/>
          <bgColor theme="0" tint="-4.9989318521683403E-2"/>
        </patternFill>
      </fill>
      <border>
        <left/>
        <right/>
        <top/>
        <bottom/>
      </border>
    </dxf>
    <dxf>
      <font>
        <color theme="0" tint="-4.9989318521683403E-2"/>
      </font>
      <fill>
        <patternFill patternType="solid">
          <fgColor indexed="64"/>
          <bgColor theme="0" tint="-4.9989318521683403E-2"/>
        </patternFill>
      </fill>
      <border>
        <left/>
        <right/>
        <top/>
        <bottom/>
      </border>
    </dxf>
    <dxf>
      <font>
        <color theme="0" tint="-4.9989318521683403E-2"/>
      </font>
      <fill>
        <patternFill patternType="solid">
          <fgColor indexed="64"/>
          <bgColor theme="0" tint="-4.9989318521683403E-2"/>
        </patternFill>
      </fill>
      <border>
        <left/>
        <right/>
        <top/>
        <bottom/>
      </border>
    </dxf>
    <dxf>
      <font>
        <color theme="0" tint="-4.9989318521683403E-2"/>
      </font>
      <fill>
        <patternFill patternType="solid">
          <fgColor indexed="64"/>
          <bgColor theme="0" tint="-4.9989318521683403E-2"/>
        </patternFill>
      </fill>
      <border>
        <left/>
        <right/>
        <top/>
        <bottom/>
      </border>
    </dxf>
    <dxf>
      <font>
        <color theme="0" tint="-4.9989318521683403E-2"/>
      </font>
      <fill>
        <patternFill patternType="solid">
          <fgColor indexed="64"/>
          <bgColor theme="0" tint="-4.9989318521683403E-2"/>
        </patternFill>
      </fill>
      <border>
        <left/>
        <right/>
        <top/>
        <bottom/>
      </border>
    </dxf>
    <dxf>
      <font>
        <color theme="0" tint="-4.9989318521683403E-2"/>
      </font>
      <fill>
        <patternFill patternType="solid">
          <fgColor indexed="64"/>
          <bgColor theme="0" tint="-4.9989318521683403E-2"/>
        </patternFill>
      </fill>
      <border>
        <left/>
        <right/>
        <top/>
        <bottom/>
      </border>
    </dxf>
    <dxf>
      <font>
        <color theme="0" tint="-4.9989318521683403E-2"/>
      </font>
      <fill>
        <patternFill patternType="solid">
          <fgColor indexed="64"/>
          <bgColor theme="0" tint="-4.9989318521683403E-2"/>
        </patternFill>
      </fill>
      <border>
        <left/>
        <right/>
        <top/>
        <bottom/>
      </border>
    </dxf>
    <dxf>
      <font>
        <color theme="0" tint="-4.9989318521683403E-2"/>
      </font>
      <fill>
        <patternFill patternType="solid">
          <fgColor indexed="64"/>
          <bgColor theme="0" tint="-4.9989318521683403E-2"/>
        </patternFill>
      </fill>
      <border>
        <left/>
        <right/>
        <top/>
        <bottom/>
      </border>
    </dxf>
    <dxf>
      <font>
        <color theme="0" tint="-4.9989318521683403E-2"/>
      </font>
      <fill>
        <patternFill patternType="solid">
          <fgColor indexed="64"/>
          <bgColor theme="0" tint="-4.9989318521683403E-2"/>
        </patternFill>
      </fill>
      <border>
        <left/>
        <right/>
        <top/>
        <bottom/>
      </border>
    </dxf>
    <dxf>
      <font>
        <color theme="0" tint="-4.9989318521683403E-2"/>
      </font>
      <fill>
        <patternFill patternType="solid">
          <fgColor indexed="64"/>
          <bgColor theme="0" tint="-4.9989318521683403E-2"/>
        </patternFill>
      </fill>
      <border>
        <left/>
        <right/>
        <top/>
        <bottom/>
      </border>
    </dxf>
    <dxf>
      <font>
        <color theme="0" tint="-4.9989318521683403E-2"/>
      </font>
      <fill>
        <patternFill patternType="solid">
          <fgColor indexed="64"/>
          <bgColor theme="0" tint="-4.9989318521683403E-2"/>
        </patternFill>
      </fill>
      <border>
        <left/>
        <right/>
        <top/>
        <bottom/>
      </border>
    </dxf>
    <dxf>
      <font>
        <color theme="0" tint="-4.9989318521683403E-2"/>
      </font>
      <fill>
        <patternFill patternType="solid">
          <fgColor indexed="64"/>
          <bgColor theme="0" tint="-4.9989318521683403E-2"/>
        </patternFill>
      </fill>
      <border>
        <left/>
        <right/>
        <top/>
        <bottom/>
      </border>
    </dxf>
    <dxf>
      <font>
        <color theme="0" tint="-4.9989318521683403E-2"/>
      </font>
      <fill>
        <patternFill patternType="solid">
          <fgColor indexed="64"/>
          <bgColor theme="0" tint="-4.9989318521683403E-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n-US" sz="1400"/>
              <a:t>Overall Emissions</a:t>
            </a:r>
          </a:p>
        </c:rich>
      </c:tx>
      <c:overlay val="0"/>
    </c:title>
    <c:autoTitleDeleted val="0"/>
    <c:plotArea>
      <c:layout/>
      <c:barChart>
        <c:barDir val="col"/>
        <c:grouping val="stacked"/>
        <c:varyColors val="0"/>
        <c:ser>
          <c:idx val="8"/>
          <c:order val="0"/>
          <c:tx>
            <c:v>Total GHG Emissions</c:v>
          </c:tx>
          <c:spPr>
            <a:solidFill>
              <a:schemeClr val="accent1"/>
            </a:solidFill>
          </c:spPr>
          <c:invertIfNegative val="0"/>
          <c:cat>
            <c:strRef>
              <c:f>Sensitivity!$E$19:$G$19</c:f>
              <c:strCache>
                <c:ptCount val="3"/>
                <c:pt idx="0">
                  <c:v>Baseline</c:v>
                </c:pt>
                <c:pt idx="1">
                  <c:v>Future</c:v>
                </c:pt>
                <c:pt idx="2">
                  <c:v>Test</c:v>
                </c:pt>
              </c:strCache>
            </c:strRef>
          </c:cat>
          <c:val>
            <c:numRef>
              <c:f>Sensitivity!$E$21:$G$21</c:f>
              <c:numCache>
                <c:formatCode>#,##0</c:formatCode>
                <c:ptCount val="3"/>
                <c:pt idx="0">
                  <c:v>30451340.339999996</c:v>
                </c:pt>
                <c:pt idx="1">
                  <c:v>31763151.702595025</c:v>
                </c:pt>
                <c:pt idx="2">
                  <c:v>31763151.702595025</c:v>
                </c:pt>
              </c:numCache>
            </c:numRef>
          </c:val>
          <c:extLst>
            <c:ext xmlns:c16="http://schemas.microsoft.com/office/drawing/2014/chart" uri="{C3380CC4-5D6E-409C-BE32-E72D297353CC}">
              <c16:uniqueId val="{00000007-8705-284F-A3C8-C5817B07DBE0}"/>
            </c:ext>
          </c:extLst>
        </c:ser>
        <c:dLbls>
          <c:showLegendKey val="0"/>
          <c:showVal val="0"/>
          <c:showCatName val="0"/>
          <c:showSerName val="0"/>
          <c:showPercent val="0"/>
          <c:showBubbleSize val="0"/>
        </c:dLbls>
        <c:gapWidth val="150"/>
        <c:overlap val="100"/>
        <c:axId val="-2137709800"/>
        <c:axId val="-2137706648"/>
      </c:barChart>
      <c:catAx>
        <c:axId val="-2137709800"/>
        <c:scaling>
          <c:orientation val="minMax"/>
        </c:scaling>
        <c:delete val="0"/>
        <c:axPos val="b"/>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2137706648"/>
        <c:crosses val="autoZero"/>
        <c:auto val="1"/>
        <c:lblAlgn val="ctr"/>
        <c:lblOffset val="100"/>
        <c:noMultiLvlLbl val="0"/>
      </c:catAx>
      <c:valAx>
        <c:axId val="-2137706648"/>
        <c:scaling>
          <c:orientation val="minMax"/>
          <c:min val="0"/>
        </c:scaling>
        <c:delete val="0"/>
        <c:axPos val="l"/>
        <c:majorGridlines/>
        <c:title>
          <c:tx>
            <c:rich>
              <a:bodyPr/>
              <a:lstStyle/>
              <a:p>
                <a:pPr>
                  <a:defRPr sz="1200" b="1" i="0" u="none" strike="noStrike" baseline="0">
                    <a:solidFill>
                      <a:srgbClr val="000000"/>
                    </a:solidFill>
                    <a:latin typeface="Calibri"/>
                    <a:ea typeface="Calibri"/>
                    <a:cs typeface="Calibri"/>
                  </a:defRPr>
                </a:pPr>
                <a:r>
                  <a:rPr lang="en-US"/>
                  <a:t>GHG Emissions (metric tons)</a:t>
                </a:r>
              </a:p>
            </c:rich>
          </c:tx>
          <c:overlay val="0"/>
        </c:title>
        <c:numFmt formatCode="#,##0" sourceLinked="0"/>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2137709800"/>
        <c:crosses val="autoZero"/>
        <c:crossBetween val="between"/>
      </c:valAx>
    </c:plotArea>
    <c:plotVisOnly val="1"/>
    <c:dispBlanksAs val="gap"/>
    <c:showDLblsOverMax val="0"/>
  </c:chart>
  <c:spPr>
    <a:ln w="19050" cmpd="sng">
      <a:solidFill>
        <a:schemeClr val="tx1"/>
      </a:solid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n-US" sz="1400"/>
              <a:t>NHS Emissions</a:t>
            </a:r>
          </a:p>
        </c:rich>
      </c:tx>
      <c:overlay val="0"/>
    </c:title>
    <c:autoTitleDeleted val="0"/>
    <c:plotArea>
      <c:layout/>
      <c:barChart>
        <c:barDir val="col"/>
        <c:grouping val="stacked"/>
        <c:varyColors val="0"/>
        <c:ser>
          <c:idx val="8"/>
          <c:order val="0"/>
          <c:tx>
            <c:v>Total GHG Emissions</c:v>
          </c:tx>
          <c:spPr>
            <a:solidFill>
              <a:schemeClr val="accent2"/>
            </a:solidFill>
          </c:spPr>
          <c:invertIfNegative val="0"/>
          <c:cat>
            <c:strRef>
              <c:f>Sensitivity!$E$19:$G$19</c:f>
              <c:strCache>
                <c:ptCount val="3"/>
                <c:pt idx="0">
                  <c:v>Baseline</c:v>
                </c:pt>
                <c:pt idx="1">
                  <c:v>Future</c:v>
                </c:pt>
                <c:pt idx="2">
                  <c:v>Test</c:v>
                </c:pt>
              </c:strCache>
            </c:strRef>
          </c:cat>
          <c:val>
            <c:numRef>
              <c:f>Sensitivity!$E$23:$G$23</c:f>
              <c:numCache>
                <c:formatCode>#,##0</c:formatCode>
                <c:ptCount val="3"/>
                <c:pt idx="0">
                  <c:v>13399480.24386725</c:v>
                </c:pt>
                <c:pt idx="1">
                  <c:v>13976715.604955224</c:v>
                </c:pt>
                <c:pt idx="2">
                  <c:v>13976715.604955224</c:v>
                </c:pt>
              </c:numCache>
            </c:numRef>
          </c:val>
          <c:extLst>
            <c:ext xmlns:c16="http://schemas.microsoft.com/office/drawing/2014/chart" uri="{C3380CC4-5D6E-409C-BE32-E72D297353CC}">
              <c16:uniqueId val="{00000000-421F-2B40-9A59-9E47EF8C6A20}"/>
            </c:ext>
          </c:extLst>
        </c:ser>
        <c:dLbls>
          <c:showLegendKey val="0"/>
          <c:showVal val="0"/>
          <c:showCatName val="0"/>
          <c:showSerName val="0"/>
          <c:showPercent val="0"/>
          <c:showBubbleSize val="0"/>
        </c:dLbls>
        <c:gapWidth val="150"/>
        <c:overlap val="100"/>
        <c:axId val="-2137709800"/>
        <c:axId val="-2137706648"/>
      </c:barChart>
      <c:catAx>
        <c:axId val="-2137709800"/>
        <c:scaling>
          <c:orientation val="minMax"/>
        </c:scaling>
        <c:delete val="0"/>
        <c:axPos val="b"/>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2137706648"/>
        <c:crosses val="autoZero"/>
        <c:auto val="1"/>
        <c:lblAlgn val="ctr"/>
        <c:lblOffset val="100"/>
        <c:noMultiLvlLbl val="0"/>
      </c:catAx>
      <c:valAx>
        <c:axId val="-2137706648"/>
        <c:scaling>
          <c:orientation val="minMax"/>
          <c:min val="0"/>
        </c:scaling>
        <c:delete val="0"/>
        <c:axPos val="l"/>
        <c:majorGridlines/>
        <c:title>
          <c:tx>
            <c:rich>
              <a:bodyPr/>
              <a:lstStyle/>
              <a:p>
                <a:pPr>
                  <a:defRPr sz="1200" b="1" i="0" u="none" strike="noStrike" baseline="0">
                    <a:solidFill>
                      <a:srgbClr val="000000"/>
                    </a:solidFill>
                    <a:latin typeface="Calibri"/>
                    <a:ea typeface="Calibri"/>
                    <a:cs typeface="Calibri"/>
                  </a:defRPr>
                </a:pPr>
                <a:r>
                  <a:rPr lang="en-US"/>
                  <a:t>GHG Emissions (metric tons)</a:t>
                </a:r>
              </a:p>
            </c:rich>
          </c:tx>
          <c:overlay val="0"/>
        </c:title>
        <c:numFmt formatCode="#,##0" sourceLinked="0"/>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2137709800"/>
        <c:crosses val="autoZero"/>
        <c:crossBetween val="between"/>
      </c:valAx>
    </c:plotArea>
    <c:plotVisOnly val="1"/>
    <c:dispBlanksAs val="gap"/>
    <c:showDLblsOverMax val="0"/>
  </c:chart>
  <c:spPr>
    <a:ln w="19050" cmpd="sng">
      <a:solidFill>
        <a:schemeClr val="tx1"/>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Trends!$D$9</c:f>
              <c:strCache>
                <c:ptCount val="1"/>
                <c:pt idx="0">
                  <c:v>VMT (millions)</c:v>
                </c:pt>
              </c:strCache>
            </c:strRef>
          </c:tx>
          <c:spPr>
            <a:ln w="28575" cap="rnd">
              <a:solidFill>
                <a:schemeClr val="accent1"/>
              </a:solidFill>
              <a:round/>
            </a:ln>
            <a:effectLst/>
          </c:spPr>
          <c:marker>
            <c:symbol val="none"/>
          </c:marker>
          <c:cat>
            <c:numRef>
              <c:f>Trends!$D$15:$D$24</c:f>
              <c:numCache>
                <c:formatCode>0_);\(0\)</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Trends!$E$15:$E$24</c:f>
              <c:numCache>
                <c:formatCode>#,##0</c:formatCode>
                <c:ptCount val="10"/>
                <c:pt idx="0">
                  <c:v>64914.112000000001</c:v>
                </c:pt>
                <c:pt idx="1">
                  <c:v>64959.172068173997</c:v>
                </c:pt>
                <c:pt idx="2">
                  <c:v>65046.483919999999</c:v>
                </c:pt>
                <c:pt idx="3">
                  <c:v>65666.604321349994</c:v>
                </c:pt>
                <c:pt idx="4">
                  <c:v>67257.004650000003</c:v>
                </c:pt>
                <c:pt idx="5">
                  <c:v>69226.970799999996</c:v>
                </c:pt>
                <c:pt idx="6">
                  <c:v>70677.248200000002</c:v>
                </c:pt>
                <c:pt idx="7">
                  <c:v>71167.206749999998</c:v>
                </c:pt>
                <c:pt idx="8">
                  <c:v>71734.627819999994</c:v>
                </c:pt>
                <c:pt idx="9">
                  <c:v>67921.496840000007</c:v>
                </c:pt>
              </c:numCache>
            </c:numRef>
          </c:val>
          <c:smooth val="0"/>
          <c:extLst>
            <c:ext xmlns:c16="http://schemas.microsoft.com/office/drawing/2014/chart" uri="{C3380CC4-5D6E-409C-BE32-E72D297353CC}">
              <c16:uniqueId val="{00000000-420A-0042-9A00-93B432CE060B}"/>
            </c:ext>
          </c:extLst>
        </c:ser>
        <c:dLbls>
          <c:showLegendKey val="0"/>
          <c:showVal val="0"/>
          <c:showCatName val="0"/>
          <c:showSerName val="0"/>
          <c:showPercent val="0"/>
          <c:showBubbleSize val="0"/>
        </c:dLbls>
        <c:marker val="1"/>
        <c:smooth val="0"/>
        <c:axId val="1904598912"/>
        <c:axId val="1735680208"/>
      </c:lineChart>
      <c:lineChart>
        <c:grouping val="standard"/>
        <c:varyColors val="0"/>
        <c:ser>
          <c:idx val="2"/>
          <c:order val="1"/>
          <c:tx>
            <c:strRef>
              <c:f>Trends!$D$11</c:f>
              <c:strCache>
                <c:ptCount val="1"/>
                <c:pt idx="0">
                  <c:v>NHS VMT (millions)</c:v>
                </c:pt>
              </c:strCache>
            </c:strRef>
          </c:tx>
          <c:spPr>
            <a:ln w="28575" cap="rnd">
              <a:solidFill>
                <a:schemeClr val="accent2"/>
              </a:solidFill>
              <a:round/>
            </a:ln>
            <a:effectLst/>
          </c:spPr>
          <c:marker>
            <c:symbol val="none"/>
          </c:marker>
          <c:cat>
            <c:numRef>
              <c:f>Trends!$D$15:$D$24</c:f>
              <c:numCache>
                <c:formatCode>0_);\(0\)</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Trends!$F$15:$F$24</c:f>
              <c:numCache>
                <c:formatCode>#,##0</c:formatCode>
                <c:ptCount val="10"/>
                <c:pt idx="0">
                  <c:v>24775.473999999998</c:v>
                </c:pt>
                <c:pt idx="1">
                  <c:v>28170.491974361998</c:v>
                </c:pt>
                <c:pt idx="2">
                  <c:v>28146.439870000002</c:v>
                </c:pt>
                <c:pt idx="3">
                  <c:v>28704.621666389998</c:v>
                </c:pt>
                <c:pt idx="4">
                  <c:v>29554.686430000002</c:v>
                </c:pt>
                <c:pt idx="5">
                  <c:v>30637.62817</c:v>
                </c:pt>
                <c:pt idx="6">
                  <c:v>31151.70854</c:v>
                </c:pt>
                <c:pt idx="7">
                  <c:v>31129.191140000003</c:v>
                </c:pt>
                <c:pt idx="8">
                  <c:v>31565.333989999999</c:v>
                </c:pt>
                <c:pt idx="9">
                  <c:v>29264.86521</c:v>
                </c:pt>
              </c:numCache>
            </c:numRef>
          </c:val>
          <c:smooth val="0"/>
          <c:extLst>
            <c:ext xmlns:c16="http://schemas.microsoft.com/office/drawing/2014/chart" uri="{C3380CC4-5D6E-409C-BE32-E72D297353CC}">
              <c16:uniqueId val="{00000001-420A-0042-9A00-93B432CE060B}"/>
            </c:ext>
          </c:extLst>
        </c:ser>
        <c:dLbls>
          <c:showLegendKey val="0"/>
          <c:showVal val="0"/>
          <c:showCatName val="0"/>
          <c:showSerName val="0"/>
          <c:showPercent val="0"/>
          <c:showBubbleSize val="0"/>
        </c:dLbls>
        <c:marker val="1"/>
        <c:smooth val="0"/>
        <c:axId val="1750551152"/>
        <c:axId val="251920751"/>
      </c:lineChart>
      <c:catAx>
        <c:axId val="1904598912"/>
        <c:scaling>
          <c:orientation val="minMax"/>
        </c:scaling>
        <c:delete val="0"/>
        <c:axPos val="b"/>
        <c:numFmt formatCode="0_);\(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35680208"/>
        <c:crosses val="autoZero"/>
        <c:auto val="1"/>
        <c:lblAlgn val="ctr"/>
        <c:lblOffset val="100"/>
        <c:noMultiLvlLbl val="0"/>
      </c:catAx>
      <c:valAx>
        <c:axId val="173568020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Value,</a:t>
                </a:r>
                <a:r>
                  <a:rPr lang="en-US" sz="1200" baseline="0"/>
                  <a:t> Series 1</a:t>
                </a:r>
                <a:endParaRPr lang="en-US"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04598912"/>
        <c:crosses val="autoZero"/>
        <c:crossBetween val="between"/>
      </c:valAx>
      <c:valAx>
        <c:axId val="251920751"/>
        <c:scaling>
          <c:orientation val="minMax"/>
          <c:min val="0"/>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Value, Series 2</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50551152"/>
        <c:crosses val="max"/>
        <c:crossBetween val="between"/>
      </c:valAx>
      <c:catAx>
        <c:axId val="1750551152"/>
        <c:scaling>
          <c:orientation val="minMax"/>
        </c:scaling>
        <c:delete val="1"/>
        <c:axPos val="b"/>
        <c:numFmt formatCode="0_);\(0\)" sourceLinked="1"/>
        <c:majorTickMark val="out"/>
        <c:minorTickMark val="none"/>
        <c:tickLblPos val="nextTo"/>
        <c:crossAx val="25192075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Trends!$N$9</c:f>
              <c:strCache>
                <c:ptCount val="1"/>
                <c:pt idx="0">
                  <c:v>GHG (metric tons)</c:v>
                </c:pt>
              </c:strCache>
            </c:strRef>
          </c:tx>
          <c:spPr>
            <a:ln w="28575" cap="rnd">
              <a:solidFill>
                <a:schemeClr val="accent1"/>
              </a:solidFill>
              <a:round/>
            </a:ln>
            <a:effectLst/>
          </c:spPr>
          <c:marker>
            <c:symbol val="none"/>
          </c:marker>
          <c:cat>
            <c:numRef>
              <c:f>Trends!$N$15:$N$24</c:f>
              <c:numCache>
                <c:formatCode>0_);\(0\)</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Trends!$O$15:$O$24</c:f>
              <c:numCache>
                <c:formatCode>#,##0</c:formatCode>
                <c:ptCount val="10"/>
                <c:pt idx="0">
                  <c:v>28190132.909999996</c:v>
                </c:pt>
                <c:pt idx="1">
                  <c:v>27868962.496069998</c:v>
                </c:pt>
                <c:pt idx="2">
                  <c:v>27916279.380000003</c:v>
                </c:pt>
                <c:pt idx="3">
                  <c:v>28498071.899999999</c:v>
                </c:pt>
                <c:pt idx="4">
                  <c:v>28725761.669999998</c:v>
                </c:pt>
                <c:pt idx="5">
                  <c:v>30722327.77</c:v>
                </c:pt>
                <c:pt idx="6">
                  <c:v>29665896.696597934</c:v>
                </c:pt>
                <c:pt idx="7">
                  <c:v>29497681.146753337</c:v>
                </c:pt>
                <c:pt idx="8">
                  <c:v>30451346.009683277</c:v>
                </c:pt>
                <c:pt idx="9">
                  <c:v>30689035.552151814</c:v>
                </c:pt>
              </c:numCache>
            </c:numRef>
          </c:val>
          <c:smooth val="0"/>
          <c:extLst>
            <c:ext xmlns:c16="http://schemas.microsoft.com/office/drawing/2014/chart" uri="{C3380CC4-5D6E-409C-BE32-E72D297353CC}">
              <c16:uniqueId val="{00000000-A408-DF49-8591-E519C34CC9AA}"/>
            </c:ext>
          </c:extLst>
        </c:ser>
        <c:dLbls>
          <c:showLegendKey val="0"/>
          <c:showVal val="0"/>
          <c:showCatName val="0"/>
          <c:showSerName val="0"/>
          <c:showPercent val="0"/>
          <c:showBubbleSize val="0"/>
        </c:dLbls>
        <c:marker val="1"/>
        <c:smooth val="0"/>
        <c:axId val="1904598912"/>
        <c:axId val="1735680208"/>
      </c:lineChart>
      <c:lineChart>
        <c:grouping val="standard"/>
        <c:varyColors val="0"/>
        <c:ser>
          <c:idx val="2"/>
          <c:order val="1"/>
          <c:tx>
            <c:strRef>
              <c:f>Trends!$N$11</c:f>
              <c:strCache>
                <c:ptCount val="1"/>
                <c:pt idx="0">
                  <c:v>NHS GHG (metric tons)</c:v>
                </c:pt>
              </c:strCache>
            </c:strRef>
          </c:tx>
          <c:spPr>
            <a:ln w="28575" cap="rnd">
              <a:solidFill>
                <a:schemeClr val="accent2"/>
              </a:solidFill>
              <a:round/>
            </a:ln>
            <a:effectLst/>
          </c:spPr>
          <c:marker>
            <c:symbol val="none"/>
          </c:marker>
          <c:cat>
            <c:numRef>
              <c:f>Trends!$N$15:$N$24</c:f>
              <c:numCache>
                <c:formatCode>0_);\(0\)</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Trends!$P$15:$P$24</c:f>
              <c:numCache>
                <c:formatCode>#,##0</c:formatCode>
                <c:ptCount val="10"/>
                <c:pt idx="0">
                  <c:v>10759199.863478824</c:v>
                </c:pt>
                <c:pt idx="1">
                  <c:v>12085781.873965377</c:v>
                </c:pt>
                <c:pt idx="2">
                  <c:v>12079728.704931527</c:v>
                </c:pt>
                <c:pt idx="3">
                  <c:v>12457266.224821638</c:v>
                </c:pt>
                <c:pt idx="4">
                  <c:v>12622936.198806219</c:v>
                </c:pt>
                <c:pt idx="5">
                  <c:v>13596713.013103923</c:v>
                </c:pt>
                <c:pt idx="6">
                  <c:v>13075542.568593772</c:v>
                </c:pt>
                <c:pt idx="7">
                  <c:v>12902557.182407038</c:v>
                </c:pt>
                <c:pt idx="8">
                  <c:v>13399482.738693696</c:v>
                </c:pt>
                <c:pt idx="9">
                  <c:v>13222772.327504268</c:v>
                </c:pt>
              </c:numCache>
            </c:numRef>
          </c:val>
          <c:smooth val="0"/>
          <c:extLst>
            <c:ext xmlns:c16="http://schemas.microsoft.com/office/drawing/2014/chart" uri="{C3380CC4-5D6E-409C-BE32-E72D297353CC}">
              <c16:uniqueId val="{00000001-A408-DF49-8591-E519C34CC9AA}"/>
            </c:ext>
          </c:extLst>
        </c:ser>
        <c:dLbls>
          <c:showLegendKey val="0"/>
          <c:showVal val="0"/>
          <c:showCatName val="0"/>
          <c:showSerName val="0"/>
          <c:showPercent val="0"/>
          <c:showBubbleSize val="0"/>
        </c:dLbls>
        <c:marker val="1"/>
        <c:smooth val="0"/>
        <c:axId val="1750551152"/>
        <c:axId val="251920751"/>
      </c:lineChart>
      <c:catAx>
        <c:axId val="1904598912"/>
        <c:scaling>
          <c:orientation val="minMax"/>
        </c:scaling>
        <c:delete val="0"/>
        <c:axPos val="b"/>
        <c:numFmt formatCode="0_);\(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35680208"/>
        <c:crosses val="autoZero"/>
        <c:auto val="1"/>
        <c:lblAlgn val="ctr"/>
        <c:lblOffset val="100"/>
        <c:noMultiLvlLbl val="0"/>
      </c:catAx>
      <c:valAx>
        <c:axId val="173568020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Value,</a:t>
                </a:r>
                <a:r>
                  <a:rPr lang="en-US" sz="1200" baseline="0"/>
                  <a:t> Series 1</a:t>
                </a:r>
                <a:endParaRPr lang="en-US"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04598912"/>
        <c:crosses val="autoZero"/>
        <c:crossBetween val="between"/>
      </c:valAx>
      <c:valAx>
        <c:axId val="251920751"/>
        <c:scaling>
          <c:orientation val="minMax"/>
          <c:min val="0"/>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Value, Series 2</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50551152"/>
        <c:crosses val="max"/>
        <c:crossBetween val="between"/>
      </c:valAx>
      <c:catAx>
        <c:axId val="1750551152"/>
        <c:scaling>
          <c:orientation val="minMax"/>
        </c:scaling>
        <c:delete val="1"/>
        <c:axPos val="b"/>
        <c:numFmt formatCode="0_);\(0\)" sourceLinked="1"/>
        <c:majorTickMark val="out"/>
        <c:minorTickMark val="none"/>
        <c:tickLblPos val="nextTo"/>
        <c:crossAx val="25192075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317500</xdr:colOff>
      <xdr:row>23</xdr:row>
      <xdr:rowOff>190500</xdr:rowOff>
    </xdr:from>
    <xdr:to>
      <xdr:col>5</xdr:col>
      <xdr:colOff>697062</xdr:colOff>
      <xdr:row>50</xdr:row>
      <xdr:rowOff>12700</xdr:rowOff>
    </xdr:to>
    <xdr:graphicFrame macro="">
      <xdr:nvGraphicFramePr>
        <xdr:cNvPr id="15" name="Chart 1">
          <a:extLst>
            <a:ext uri="{FF2B5EF4-FFF2-40B4-BE49-F238E27FC236}">
              <a16:creationId xmlns:a16="http://schemas.microsoft.com/office/drawing/2014/main" id="{E6F85604-E2C2-E24F-BE5E-95229EC09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901700</xdr:colOff>
      <xdr:row>23</xdr:row>
      <xdr:rowOff>190500</xdr:rowOff>
    </xdr:from>
    <xdr:to>
      <xdr:col>10</xdr:col>
      <xdr:colOff>341462</xdr:colOff>
      <xdr:row>50</xdr:row>
      <xdr:rowOff>12700</xdr:rowOff>
    </xdr:to>
    <xdr:graphicFrame macro="">
      <xdr:nvGraphicFramePr>
        <xdr:cNvPr id="16" name="Chart 1">
          <a:extLst>
            <a:ext uri="{FF2B5EF4-FFF2-40B4-BE49-F238E27FC236}">
              <a16:creationId xmlns:a16="http://schemas.microsoft.com/office/drawing/2014/main" id="{8AA2F92E-DAB5-F748-A0FC-B5DA181E6F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11</xdr:row>
      <xdr:rowOff>177800</xdr:rowOff>
    </xdr:from>
    <xdr:to>
      <xdr:col>11</xdr:col>
      <xdr:colOff>241300</xdr:colOff>
      <xdr:row>35</xdr:row>
      <xdr:rowOff>177800</xdr:rowOff>
    </xdr:to>
    <xdr:graphicFrame macro="">
      <xdr:nvGraphicFramePr>
        <xdr:cNvPr id="6" name="Chart 5">
          <a:extLst>
            <a:ext uri="{FF2B5EF4-FFF2-40B4-BE49-F238E27FC236}">
              <a16:creationId xmlns:a16="http://schemas.microsoft.com/office/drawing/2014/main" id="{7C7AD5EC-3425-FD4D-9038-A57298705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317500</xdr:colOff>
      <xdr:row>11</xdr:row>
      <xdr:rowOff>190500</xdr:rowOff>
    </xdr:from>
    <xdr:to>
      <xdr:col>21</xdr:col>
      <xdr:colOff>114300</xdr:colOff>
      <xdr:row>35</xdr:row>
      <xdr:rowOff>190500</xdr:rowOff>
    </xdr:to>
    <xdr:graphicFrame macro="">
      <xdr:nvGraphicFramePr>
        <xdr:cNvPr id="7" name="Chart 6">
          <a:extLst>
            <a:ext uri="{FF2B5EF4-FFF2-40B4-BE49-F238E27FC236}">
              <a16:creationId xmlns:a16="http://schemas.microsoft.com/office/drawing/2014/main" id="{682CD0DD-3859-DC4A-BEB6-F6FD86899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illrobert/Desktop/Ferry/tapt_mbta_ferr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illrobert/Desktop/tapt_export_sample_data_201711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Budgets and Parameters"/>
      <sheetName val="Base"/>
      <sheetName val="Investment"/>
      <sheetName val="Summary Output"/>
      <sheetName val="Base Program"/>
      <sheetName val="Investment Program"/>
      <sheetName val="Program List"/>
      <sheetName val="ChartOneRun"/>
      <sheetName val="ChartTwoRuns"/>
      <sheetName val="Vehicle Model Template"/>
      <sheetName val="Age-Based Model Template"/>
      <sheetName val="Condition-Based Model Template"/>
      <sheetName val="ID Codes"/>
      <sheetName val="ChartData"/>
      <sheetName val="Default Assets"/>
      <sheetName val="Asset List"/>
      <sheetName val="Asset Parameters"/>
      <sheetName val="assets_initial"/>
      <sheetName val="asset_models"/>
      <sheetName val="asset_agemodel"/>
      <sheetName val="Ferry"/>
    </sheetNames>
    <sheetDataSet>
      <sheetData sheetId="0"/>
      <sheetData sheetId="1">
        <row r="4">
          <cell r="AC4">
            <v>2017</v>
          </cell>
        </row>
        <row r="6">
          <cell r="AC6">
            <v>0</v>
          </cell>
        </row>
        <row r="7">
          <cell r="AC7">
            <v>0.04</v>
          </cell>
        </row>
        <row r="8">
          <cell r="AC8">
            <v>51.362467199999998</v>
          </cell>
        </row>
        <row r="9">
          <cell r="AC9">
            <v>25.468992</v>
          </cell>
        </row>
        <row r="11">
          <cell r="AC11">
            <v>1E-3</v>
          </cell>
        </row>
        <row r="12">
          <cell r="AC12">
            <v>3</v>
          </cell>
        </row>
        <row r="13">
          <cell r="AC13">
            <v>0.15</v>
          </cell>
        </row>
        <row r="14">
          <cell r="AC14">
            <v>1</v>
          </cell>
        </row>
        <row r="15">
          <cell r="AC1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E1" t="str">
            <v>Condition-Based Model</v>
          </cell>
          <cell r="R1" t="str">
            <v>Replacement Cost</v>
          </cell>
        </row>
        <row r="2">
          <cell r="A2" t="str">
            <v>Non-Vehicle Asset</v>
          </cell>
          <cell r="E2">
            <v>5</v>
          </cell>
          <cell r="F2">
            <v>4</v>
          </cell>
          <cell r="G2">
            <v>3</v>
          </cell>
          <cell r="H2">
            <v>2</v>
          </cell>
          <cell r="L2" t="str">
            <v>Age</v>
          </cell>
          <cell r="Q2" t="str">
            <v>TERM0</v>
          </cell>
        </row>
        <row r="3">
          <cell r="A3" t="str">
            <v>Facilities-Access and Parking</v>
          </cell>
          <cell r="E3">
            <v>0.98083418824956659</v>
          </cell>
          <cell r="F3">
            <v>0.9587049163986352</v>
          </cell>
          <cell r="G3">
            <v>0.9287843724251954</v>
          </cell>
          <cell r="H3">
            <v>0.88480844768298816</v>
          </cell>
          <cell r="L3">
            <v>-8.8700000000000001E-2</v>
          </cell>
          <cell r="Q3">
            <v>6</v>
          </cell>
          <cell r="R3">
            <v>28577</v>
          </cell>
        </row>
        <row r="4">
          <cell r="A4" t="str">
            <v>Facilities-Administrative Building</v>
          </cell>
          <cell r="E4">
            <v>0.98609476829826004</v>
          </cell>
          <cell r="F4">
            <v>0.9643442431102105</v>
          </cell>
          <cell r="G4">
            <v>0.9353949326528469</v>
          </cell>
          <cell r="H4">
            <v>0.8933936869387592</v>
          </cell>
          <cell r="L4">
            <v>-5.0900000000000001E-2</v>
          </cell>
          <cell r="Q4">
            <v>4.0284000000000004</v>
          </cell>
          <cell r="R4">
            <v>7066312</v>
          </cell>
        </row>
        <row r="5">
          <cell r="A5" t="str">
            <v>Facilities-Brake Lathe</v>
          </cell>
          <cell r="E5">
            <v>0.95022123612706344</v>
          </cell>
          <cell r="F5">
            <v>0.91681049183018981</v>
          </cell>
          <cell r="G5">
            <v>0.86819483072294579</v>
          </cell>
          <cell r="H5">
            <v>0.79392501942722826</v>
          </cell>
          <cell r="L5">
            <v>-0.176232</v>
          </cell>
          <cell r="Q5">
            <v>5.876843</v>
          </cell>
          <cell r="R5">
            <v>40007</v>
          </cell>
        </row>
        <row r="6">
          <cell r="A6" t="str">
            <v>Facilities-Building Utilities</v>
          </cell>
          <cell r="E6">
            <v>0.95819325844533121</v>
          </cell>
          <cell r="F6">
            <v>0.93087546260315879</v>
          </cell>
          <cell r="G6">
            <v>0.89113963047514388</v>
          </cell>
          <cell r="H6">
            <v>0.83027009236782912</v>
          </cell>
          <cell r="L6">
            <v>-9.9561999999999998E-2</v>
          </cell>
          <cell r="Q6">
            <v>3.898359632</v>
          </cell>
          <cell r="R6">
            <v>1144409</v>
          </cell>
        </row>
        <row r="7">
          <cell r="A7" t="str">
            <v>Facilities-Building Utilities-Elevators and Conveying Systems</v>
          </cell>
          <cell r="E7">
            <v>0.90246828843803673</v>
          </cell>
          <cell r="F7">
            <v>0.83823360714964701</v>
          </cell>
          <cell r="G7">
            <v>0.74432225538143459</v>
          </cell>
          <cell r="H7">
            <v>0.60140479612026387</v>
          </cell>
          <cell r="L7">
            <v>-0.35489999999999999</v>
          </cell>
          <cell r="Q7">
            <v>6</v>
          </cell>
          <cell r="R7">
            <v>53489</v>
          </cell>
        </row>
        <row r="8">
          <cell r="A8" t="str">
            <v>Facilities-Building Utilities-Generator</v>
          </cell>
          <cell r="E8">
            <v>0.90246828843803673</v>
          </cell>
          <cell r="F8">
            <v>0.83823360714964701</v>
          </cell>
          <cell r="G8">
            <v>0.74432225538143459</v>
          </cell>
          <cell r="H8">
            <v>0.60140479612026387</v>
          </cell>
          <cell r="L8">
            <v>-0.35489999999999999</v>
          </cell>
          <cell r="Q8">
            <v>6</v>
          </cell>
          <cell r="R8">
            <v>230475</v>
          </cell>
        </row>
        <row r="9">
          <cell r="A9" t="str">
            <v>Facilities-Bus Turnaround Facility</v>
          </cell>
          <cell r="E9">
            <v>0.94724061828060568</v>
          </cell>
          <cell r="F9">
            <v>0.91332061985317803</v>
          </cell>
          <cell r="G9">
            <v>0.86360621871184939</v>
          </cell>
          <cell r="H9">
            <v>0.78727209411611476</v>
          </cell>
          <cell r="L9">
            <v>-0.14210500000000001</v>
          </cell>
          <cell r="Q9">
            <v>4.4644424709999999</v>
          </cell>
          <cell r="R9">
            <v>286102</v>
          </cell>
        </row>
        <row r="10">
          <cell r="A10" t="str">
            <v>Facilities-Bus Washer</v>
          </cell>
          <cell r="E10">
            <v>0.98083418824956659</v>
          </cell>
          <cell r="F10">
            <v>0.9587049163986352</v>
          </cell>
          <cell r="G10">
            <v>0.9287843724251954</v>
          </cell>
          <cell r="H10">
            <v>0.88480844768298816</v>
          </cell>
          <cell r="L10">
            <v>-8.8700000000000001E-2</v>
          </cell>
          <cell r="Q10">
            <v>6</v>
          </cell>
          <cell r="R10">
            <v>657268</v>
          </cell>
        </row>
        <row r="11">
          <cell r="A11" t="str">
            <v>Facilities-Dynamoneter</v>
          </cell>
          <cell r="E11">
            <v>0.90246828843803673</v>
          </cell>
          <cell r="F11">
            <v>0.83823360714964701</v>
          </cell>
          <cell r="G11">
            <v>0.74432225538143459</v>
          </cell>
          <cell r="H11">
            <v>0.60140479612026387</v>
          </cell>
          <cell r="L11">
            <v>-0.35489999999999999</v>
          </cell>
          <cell r="Q11">
            <v>6</v>
          </cell>
          <cell r="R11">
            <v>275971</v>
          </cell>
        </row>
        <row r="12">
          <cell r="A12" t="str">
            <v>Facilities-Fixed Lift</v>
          </cell>
          <cell r="E12">
            <v>0.98083418824956659</v>
          </cell>
          <cell r="F12">
            <v>0.9587049163986352</v>
          </cell>
          <cell r="G12">
            <v>0.9287843724251954</v>
          </cell>
          <cell r="H12">
            <v>0.88480844768298816</v>
          </cell>
          <cell r="L12">
            <v>-8.8700000000000001E-2</v>
          </cell>
          <cell r="Q12">
            <v>6</v>
          </cell>
          <cell r="R12">
            <v>460089</v>
          </cell>
        </row>
        <row r="13">
          <cell r="A13" t="str">
            <v>Facilities-Fuel Island</v>
          </cell>
          <cell r="E13">
            <v>0.98083418824956659</v>
          </cell>
          <cell r="F13">
            <v>0.9587049163986352</v>
          </cell>
          <cell r="G13">
            <v>0.9287843724251954</v>
          </cell>
          <cell r="H13">
            <v>0.88480844768298816</v>
          </cell>
          <cell r="L13">
            <v>-8.8700000000000001E-2</v>
          </cell>
          <cell r="Q13">
            <v>6</v>
          </cell>
          <cell r="R13">
            <v>263182</v>
          </cell>
        </row>
        <row r="14">
          <cell r="A14" t="str">
            <v>Facilities-Maintenance Building</v>
          </cell>
          <cell r="E14">
            <v>0.96289236584314497</v>
          </cell>
          <cell r="F14">
            <v>0.93655595474090059</v>
          </cell>
          <cell r="G14">
            <v>0.89880162128710006</v>
          </cell>
          <cell r="H14">
            <v>0.8414075748410651</v>
          </cell>
          <cell r="L14">
            <v>-0.11</v>
          </cell>
          <cell r="Q14">
            <v>4.8</v>
          </cell>
          <cell r="R14">
            <v>24989488</v>
          </cell>
        </row>
        <row r="15">
          <cell r="A15" t="str">
            <v>Facilities-Maintenance Equipment</v>
          </cell>
          <cell r="E15">
            <v>0.89401569386215252</v>
          </cell>
          <cell r="F15">
            <v>0.82933985904581298</v>
          </cell>
          <cell r="G15">
            <v>0.73356998673104012</v>
          </cell>
          <cell r="H15">
            <v>0.58653038368850308</v>
          </cell>
          <cell r="L15">
            <v>-0.25507800000000003</v>
          </cell>
          <cell r="Q15">
            <v>3.9503522129999999</v>
          </cell>
          <cell r="R15">
            <v>5841322</v>
          </cell>
        </row>
        <row r="16">
          <cell r="A16" t="str">
            <v>Facilities-Major Bus Shop</v>
          </cell>
          <cell r="E16">
            <v>0.98083418824956659</v>
          </cell>
          <cell r="F16">
            <v>0.9587049163986352</v>
          </cell>
          <cell r="G16">
            <v>0.9287843724251954</v>
          </cell>
          <cell r="H16">
            <v>0.88480844768298816</v>
          </cell>
          <cell r="L16">
            <v>-8.8730000000000003E-2</v>
          </cell>
          <cell r="Q16">
            <v>6</v>
          </cell>
          <cell r="R16">
            <v>11870569</v>
          </cell>
        </row>
        <row r="17">
          <cell r="A17" t="str">
            <v>Facilities-Major Rail Shop</v>
          </cell>
          <cell r="E17">
            <v>0.98083418824956659</v>
          </cell>
          <cell r="F17">
            <v>0.9587049163986352</v>
          </cell>
          <cell r="G17">
            <v>0.9287843724251954</v>
          </cell>
          <cell r="H17">
            <v>0.88480844768298816</v>
          </cell>
          <cell r="L17">
            <v>-8.8730000000000003E-2</v>
          </cell>
          <cell r="Q17">
            <v>6</v>
          </cell>
          <cell r="R17">
            <v>20743045</v>
          </cell>
        </row>
        <row r="18">
          <cell r="A18" t="str">
            <v>Facilities-Passenger Building</v>
          </cell>
          <cell r="E18">
            <v>0.98609476829826004</v>
          </cell>
          <cell r="F18">
            <v>0.9643442431102105</v>
          </cell>
          <cell r="G18">
            <v>0.9353949326528469</v>
          </cell>
          <cell r="H18">
            <v>0.8933936869387592</v>
          </cell>
          <cell r="L18">
            <v>-5.0900000000000001E-2</v>
          </cell>
          <cell r="Q18">
            <v>4.0284000000000004</v>
          </cell>
          <cell r="R18">
            <v>22206421</v>
          </cell>
        </row>
        <row r="19">
          <cell r="A19" t="str">
            <v>Facilities-Pollution Treatment</v>
          </cell>
          <cell r="E19">
            <v>0.98084956591502181</v>
          </cell>
          <cell r="F19">
            <v>0.958719616609504</v>
          </cell>
          <cell r="G19">
            <v>0.92880457142663009</v>
          </cell>
          <cell r="H19">
            <v>0.88485906393406577</v>
          </cell>
          <cell r="L19">
            <v>-0.23662</v>
          </cell>
          <cell r="Q19">
            <v>6</v>
          </cell>
          <cell r="R19">
            <v>20743045</v>
          </cell>
        </row>
        <row r="20">
          <cell r="A20" t="str">
            <v>Facilities-Portable Lift</v>
          </cell>
          <cell r="E20">
            <v>0.90246828843803673</v>
          </cell>
          <cell r="F20">
            <v>0.83823360714964701</v>
          </cell>
          <cell r="G20">
            <v>0.74432225538143459</v>
          </cell>
          <cell r="H20">
            <v>0.60140479612026387</v>
          </cell>
          <cell r="L20">
            <v>-0.35489999999999999</v>
          </cell>
          <cell r="Q20">
            <v>6</v>
          </cell>
          <cell r="R20">
            <v>57154</v>
          </cell>
        </row>
        <row r="21">
          <cell r="A21" t="str">
            <v>Facilities-Storage Yard</v>
          </cell>
          <cell r="E21">
            <v>0.98083418824956659</v>
          </cell>
          <cell r="F21">
            <v>0.9587049163986352</v>
          </cell>
          <cell r="G21">
            <v>0.9287843724251954</v>
          </cell>
          <cell r="H21">
            <v>0.88480844768298816</v>
          </cell>
          <cell r="L21">
            <v>-8.8700000000000001E-2</v>
          </cell>
          <cell r="Q21">
            <v>6</v>
          </cell>
          <cell r="R21">
            <v>10271602</v>
          </cell>
        </row>
        <row r="22">
          <cell r="A22" t="str">
            <v>Facilities-Storage Yard-Bus</v>
          </cell>
          <cell r="E22">
            <v>0.98083418824956659</v>
          </cell>
          <cell r="F22">
            <v>0.9587049163986352</v>
          </cell>
          <cell r="G22">
            <v>0.9287843724251954</v>
          </cell>
          <cell r="H22">
            <v>0.88480844768298816</v>
          </cell>
          <cell r="L22">
            <v>-8.8700000000000001E-2</v>
          </cell>
          <cell r="Q22">
            <v>6</v>
          </cell>
          <cell r="R22">
            <v>1842705</v>
          </cell>
        </row>
        <row r="23">
          <cell r="A23" t="str">
            <v>Facilities-Train Control Center</v>
          </cell>
          <cell r="E23">
            <v>0.98084956591502181</v>
          </cell>
          <cell r="F23">
            <v>0.958719616609504</v>
          </cell>
          <cell r="G23">
            <v>0.92880457142663009</v>
          </cell>
          <cell r="H23">
            <v>0.88485906393406577</v>
          </cell>
          <cell r="L23">
            <v>-0.14197000000000001</v>
          </cell>
          <cell r="Q23">
            <v>6</v>
          </cell>
          <cell r="R23">
            <v>10128787</v>
          </cell>
        </row>
        <row r="24">
          <cell r="A24" t="str">
            <v>Facilities-Train Washer</v>
          </cell>
          <cell r="E24">
            <v>0.94724061828060568</v>
          </cell>
          <cell r="F24">
            <v>0.91332061985317803</v>
          </cell>
          <cell r="G24">
            <v>0.86360621871184939</v>
          </cell>
          <cell r="H24">
            <v>0.78727209411611476</v>
          </cell>
          <cell r="L24">
            <v>-0.14210500000000001</v>
          </cell>
          <cell r="Q24">
            <v>4.4644424709999999</v>
          </cell>
          <cell r="R24">
            <v>2220005</v>
          </cell>
        </row>
        <row r="25">
          <cell r="A25" t="str">
            <v>Facilities-Vehicle Paintbooth</v>
          </cell>
          <cell r="E25">
            <v>0.98083418824956659</v>
          </cell>
          <cell r="F25">
            <v>0.9587049163986352</v>
          </cell>
          <cell r="G25">
            <v>0.9287843724251954</v>
          </cell>
          <cell r="H25">
            <v>0.88480844768298816</v>
          </cell>
          <cell r="L25">
            <v>-8.8700000000000001E-2</v>
          </cell>
          <cell r="Q25">
            <v>6</v>
          </cell>
          <cell r="R25">
            <v>1314538</v>
          </cell>
        </row>
        <row r="26">
          <cell r="A26" t="str">
            <v>Facilities-Wheel Truing Machine</v>
          </cell>
          <cell r="E26">
            <v>0.95022123612706344</v>
          </cell>
          <cell r="F26">
            <v>0.91681049183018981</v>
          </cell>
          <cell r="G26">
            <v>0.86819483072294579</v>
          </cell>
          <cell r="H26">
            <v>0.79392501942722826</v>
          </cell>
          <cell r="L26">
            <v>-0.176232</v>
          </cell>
          <cell r="Q26">
            <v>5.876843</v>
          </cell>
          <cell r="R26">
            <v>295771</v>
          </cell>
        </row>
        <row r="27">
          <cell r="A27" t="str">
            <v>Guideway-At Grade Ballasted or Expressway</v>
          </cell>
          <cell r="E27">
            <v>0.98444276540573339</v>
          </cell>
          <cell r="F27">
            <v>0.96247400327043964</v>
          </cell>
          <cell r="G27">
            <v>0.93313834640197002</v>
          </cell>
          <cell r="H27">
            <v>0.89031348821717704</v>
          </cell>
          <cell r="L27">
            <v>-5.8686000000000002E-2</v>
          </cell>
          <cell r="Q27">
            <v>4.3832440000000004</v>
          </cell>
          <cell r="R27">
            <v>3187</v>
          </cell>
        </row>
        <row r="28">
          <cell r="A28" t="str">
            <v>Guideway-At Grade Bus</v>
          </cell>
          <cell r="E28">
            <v>0.98084956591502181</v>
          </cell>
          <cell r="F28">
            <v>0.958719616609504</v>
          </cell>
          <cell r="G28">
            <v>0.92880457142663009</v>
          </cell>
          <cell r="H28">
            <v>0.88485906393406577</v>
          </cell>
          <cell r="L28">
            <v>-0.23662041</v>
          </cell>
          <cell r="Q28">
            <v>6</v>
          </cell>
          <cell r="R28">
            <v>809</v>
          </cell>
        </row>
        <row r="29">
          <cell r="A29" t="str">
            <v>Guideway-At-Grade Crossing</v>
          </cell>
          <cell r="E29">
            <v>0.93562092141222875</v>
          </cell>
          <cell r="F29">
            <v>0.89356012355513692</v>
          </cell>
          <cell r="G29">
            <v>0.83194893026670713</v>
          </cell>
          <cell r="H29">
            <v>0.73763676407274614</v>
          </cell>
          <cell r="L29">
            <v>-0.35493061399999998</v>
          </cell>
          <cell r="Q29">
            <v>6</v>
          </cell>
          <cell r="R29">
            <v>820</v>
          </cell>
        </row>
        <row r="30">
          <cell r="A30" t="str">
            <v>Guideway-Ballasted Curved Platform Track</v>
          </cell>
          <cell r="E30">
            <v>0.93790041347976605</v>
          </cell>
          <cell r="F30">
            <v>0.89731671660303958</v>
          </cell>
          <cell r="G30">
            <v>0.83787591908999759</v>
          </cell>
          <cell r="H30">
            <v>0.7468709209439115</v>
          </cell>
          <cell r="L30">
            <v>-0.195496</v>
          </cell>
          <cell r="Q30">
            <v>5.2241590000000002</v>
          </cell>
          <cell r="R30">
            <v>1559</v>
          </cell>
        </row>
        <row r="31">
          <cell r="A31" t="str">
            <v>Guideway-Ballasted Tangent Platform Track</v>
          </cell>
          <cell r="E31">
            <v>0.94742376786478544</v>
          </cell>
          <cell r="F31">
            <v>0.91275303297737442</v>
          </cell>
          <cell r="G31">
            <v>0.86212859042803913</v>
          </cell>
          <cell r="H31">
            <v>0.7846068221162954</v>
          </cell>
          <cell r="L31">
            <v>-0.165496</v>
          </cell>
          <cell r="Q31">
            <v>5.2241590000000002</v>
          </cell>
          <cell r="R31">
            <v>1077</v>
          </cell>
        </row>
        <row r="32">
          <cell r="A32" t="str">
            <v>Guideway-Bridge</v>
          </cell>
          <cell r="E32">
            <v>0.98444276540573339</v>
          </cell>
          <cell r="F32">
            <v>0.96247400327043964</v>
          </cell>
          <cell r="G32">
            <v>0.93313834640197002</v>
          </cell>
          <cell r="H32">
            <v>0.89031348821717704</v>
          </cell>
          <cell r="L32">
            <v>-5.8686000000000002E-2</v>
          </cell>
          <cell r="Q32">
            <v>4.3832440000000004</v>
          </cell>
          <cell r="R32">
            <v>26955</v>
          </cell>
        </row>
        <row r="33">
          <cell r="A33" t="str">
            <v>Guideway-Bus Turnaround</v>
          </cell>
          <cell r="E33">
            <v>0.98083418824956659</v>
          </cell>
          <cell r="F33">
            <v>0.9587049163986352</v>
          </cell>
          <cell r="G33">
            <v>0.9287843724251954</v>
          </cell>
          <cell r="H33">
            <v>0.88480844768298816</v>
          </cell>
          <cell r="L33">
            <v>-8.8732653999999994E-2</v>
          </cell>
          <cell r="Q33">
            <v>6</v>
          </cell>
          <cell r="R33">
            <v>2647</v>
          </cell>
        </row>
        <row r="34">
          <cell r="A34" t="str">
            <v>Guideway-Concrete Tie</v>
          </cell>
          <cell r="E34">
            <v>0.90246828843803673</v>
          </cell>
          <cell r="F34">
            <v>0.83823360714964701</v>
          </cell>
          <cell r="G34">
            <v>0.74432225538143459</v>
          </cell>
          <cell r="H34">
            <v>0.60140479612026387</v>
          </cell>
          <cell r="L34">
            <v>-0.35489999999999999</v>
          </cell>
          <cell r="Q34">
            <v>6</v>
          </cell>
          <cell r="R34">
            <v>38</v>
          </cell>
        </row>
        <row r="35">
          <cell r="A35" t="str">
            <v>Guideway-Curved Ballasted Track</v>
          </cell>
          <cell r="E35">
            <v>0.94644170305880382</v>
          </cell>
          <cell r="F35">
            <v>0.91079214758994453</v>
          </cell>
          <cell r="G35">
            <v>0.8587962672008409</v>
          </cell>
          <cell r="H35">
            <v>0.77930730999456577</v>
          </cell>
          <cell r="L35">
            <v>-0.18623200000000001</v>
          </cell>
          <cell r="Q35">
            <v>5.7768430000000004</v>
          </cell>
          <cell r="R35">
            <v>924</v>
          </cell>
        </row>
        <row r="36">
          <cell r="A36" t="str">
            <v>Guideway-Curved Direct Fixation Track</v>
          </cell>
          <cell r="E36">
            <v>0.93562092141222875</v>
          </cell>
          <cell r="F36">
            <v>0.89356012355513692</v>
          </cell>
          <cell r="G36">
            <v>0.83194893026670713</v>
          </cell>
          <cell r="H36">
            <v>0.73763676407274614</v>
          </cell>
          <cell r="L36">
            <v>-0.203794</v>
          </cell>
          <cell r="Q36">
            <v>5.2514130000000003</v>
          </cell>
          <cell r="R36">
            <v>957</v>
          </cell>
        </row>
        <row r="37">
          <cell r="A37" t="str">
            <v>Guideway-Curved Embedded Track</v>
          </cell>
          <cell r="E37">
            <v>0.93562092141222875</v>
          </cell>
          <cell r="F37">
            <v>0.89356012355513692</v>
          </cell>
          <cell r="G37">
            <v>0.83194893026670713</v>
          </cell>
          <cell r="H37">
            <v>0.73763676407274614</v>
          </cell>
          <cell r="L37">
            <v>-0.203794</v>
          </cell>
          <cell r="Q37">
            <v>5.2514130000000003</v>
          </cell>
          <cell r="R37">
            <v>957</v>
          </cell>
        </row>
        <row r="38">
          <cell r="A38" t="str">
            <v>Guideway-Direct Fixation Curved Platform Track</v>
          </cell>
          <cell r="E38">
            <v>0.92519209207131214</v>
          </cell>
          <cell r="F38">
            <v>0.88009857968868077</v>
          </cell>
          <cell r="G38">
            <v>0.81316927803464611</v>
          </cell>
          <cell r="H38">
            <v>0.70998392575593683</v>
          </cell>
          <cell r="L38">
            <v>-0.14285</v>
          </cell>
          <cell r="Q38">
            <v>4.3882450000000004</v>
          </cell>
          <cell r="R38">
            <v>1611</v>
          </cell>
        </row>
        <row r="39">
          <cell r="A39" t="str">
            <v>Guideway-Direct Fixation Diamond Crossover</v>
          </cell>
          <cell r="E39">
            <v>0.94339088306586227</v>
          </cell>
          <cell r="F39">
            <v>0.90615509246571024</v>
          </cell>
          <cell r="G39">
            <v>0.85171160494772902</v>
          </cell>
          <cell r="H39">
            <v>0.7683798247274034</v>
          </cell>
          <cell r="L39">
            <v>-0.182</v>
          </cell>
          <cell r="Q39">
            <v>5.3387000000000002</v>
          </cell>
          <cell r="R39">
            <v>1029968</v>
          </cell>
        </row>
        <row r="40">
          <cell r="A40" t="str">
            <v>Guideway-Direct Fixation or Ballasted Turnout</v>
          </cell>
          <cell r="E40">
            <v>0.95818670134314965</v>
          </cell>
          <cell r="F40">
            <v>0.92899216743251556</v>
          </cell>
          <cell r="G40">
            <v>0.88692494138518763</v>
          </cell>
          <cell r="H40">
            <v>0.82294632649346589</v>
          </cell>
          <cell r="L40">
            <v>-0.16944999999999999</v>
          </cell>
          <cell r="Q40">
            <v>6.6818660000000003</v>
          </cell>
          <cell r="R40">
            <v>354767</v>
          </cell>
        </row>
        <row r="41">
          <cell r="A41" t="str">
            <v>Guideway-Direct Fixation Tangent Platform Track</v>
          </cell>
          <cell r="E41">
            <v>0.94603645035423034</v>
          </cell>
          <cell r="F41">
            <v>0.91154067500869806</v>
          </cell>
          <cell r="G41">
            <v>0.8609157598241034</v>
          </cell>
          <cell r="H41">
            <v>0.78315094204745062</v>
          </cell>
          <cell r="L41">
            <v>-0.14285</v>
          </cell>
          <cell r="Q41">
            <v>4.3882450000000004</v>
          </cell>
          <cell r="R41">
            <v>1114</v>
          </cell>
        </row>
        <row r="42">
          <cell r="A42" t="str">
            <v>Guideway-Elevated Fill</v>
          </cell>
          <cell r="E42">
            <v>0.9927532157208121</v>
          </cell>
          <cell r="F42">
            <v>0.97071383821779955</v>
          </cell>
          <cell r="G42">
            <v>0.94230212986087547</v>
          </cell>
          <cell r="H42">
            <v>0.90198265133535771</v>
          </cell>
          <cell r="L42">
            <v>-4.3638999999999997E-2</v>
          </cell>
          <cell r="Q42">
            <v>4.4403199999999998</v>
          </cell>
          <cell r="R42">
            <v>2864</v>
          </cell>
        </row>
        <row r="43">
          <cell r="A43" t="str">
            <v xml:space="preserve">Guideway-Elevated Structure </v>
          </cell>
          <cell r="E43">
            <v>0.98481410146275206</v>
          </cell>
          <cell r="F43">
            <v>0.96429045566787619</v>
          </cell>
          <cell r="G43">
            <v>0.94102712917019427</v>
          </cell>
          <cell r="H43">
            <v>0.60163387025564496</v>
          </cell>
          <cell r="L43">
            <v>-5.0299999999999997E-2</v>
          </cell>
          <cell r="Q43">
            <v>3.8237499999999995</v>
          </cell>
          <cell r="R43">
            <v>10992</v>
          </cell>
        </row>
        <row r="44">
          <cell r="A44" t="str">
            <v>Guideway-Elevated-Bus</v>
          </cell>
          <cell r="E44">
            <v>0.98084956591502181</v>
          </cell>
          <cell r="F44">
            <v>0.958719616609504</v>
          </cell>
          <cell r="G44">
            <v>0.92880457142663009</v>
          </cell>
          <cell r="H44">
            <v>0.88485906393406577</v>
          </cell>
          <cell r="L44">
            <v>-0.141972246</v>
          </cell>
          <cell r="Q44">
            <v>6</v>
          </cell>
          <cell r="R44">
            <v>3811</v>
          </cell>
        </row>
        <row r="45">
          <cell r="A45" t="str">
            <v>Guideway-Foot Walk</v>
          </cell>
          <cell r="E45">
            <v>0.99145850017781534</v>
          </cell>
          <cell r="F45">
            <v>0.96943696459410733</v>
          </cell>
          <cell r="G45">
            <v>0.94103847956178777</v>
          </cell>
          <cell r="H45">
            <v>0.90053204233597106</v>
          </cell>
          <cell r="L45">
            <v>-7.1891999999999998E-2</v>
          </cell>
          <cell r="Q45">
            <v>6.4649989999999997</v>
          </cell>
          <cell r="R45">
            <v>169</v>
          </cell>
        </row>
        <row r="46">
          <cell r="A46" t="str">
            <v>Guideway-Grade Crossing</v>
          </cell>
          <cell r="E46">
            <v>0.90246828843803673</v>
          </cell>
          <cell r="F46">
            <v>0.83823360714964701</v>
          </cell>
          <cell r="G46">
            <v>0.74432225538143459</v>
          </cell>
          <cell r="H46">
            <v>0.60140479612026387</v>
          </cell>
          <cell r="L46">
            <v>-0.35493061399999998</v>
          </cell>
          <cell r="Q46">
            <v>6</v>
          </cell>
          <cell r="R46">
            <v>3141</v>
          </cell>
        </row>
        <row r="47">
          <cell r="A47" t="str">
            <v>Guideway-Guarded Ballasted Track</v>
          </cell>
          <cell r="E47">
            <v>0.95022123612706344</v>
          </cell>
          <cell r="F47">
            <v>0.91681049183018981</v>
          </cell>
          <cell r="G47">
            <v>0.86819483072294579</v>
          </cell>
          <cell r="H47">
            <v>0.79392501942722826</v>
          </cell>
          <cell r="L47">
            <v>-0.176232</v>
          </cell>
          <cell r="Q47">
            <v>5.876843</v>
          </cell>
          <cell r="R47">
            <v>708</v>
          </cell>
        </row>
        <row r="48">
          <cell r="A48" t="str">
            <v>Guideway-Guarded Curved Direct Fixation Track</v>
          </cell>
          <cell r="E48">
            <v>0.93195664044450321</v>
          </cell>
          <cell r="F48">
            <v>0.89098512895387683</v>
          </cell>
          <cell r="G48">
            <v>0.8301700173984019</v>
          </cell>
          <cell r="H48">
            <v>0.73634155219735997</v>
          </cell>
          <cell r="L48">
            <v>-0.152471</v>
          </cell>
          <cell r="Q48">
            <v>3.7096550000000001</v>
          </cell>
          <cell r="R48">
            <v>1183</v>
          </cell>
        </row>
        <row r="49">
          <cell r="A49" t="str">
            <v>Guideway-Guarded Direct Fixation Track</v>
          </cell>
          <cell r="E49">
            <v>0.94116132837155342</v>
          </cell>
          <cell r="F49">
            <v>0.90244289743511297</v>
          </cell>
          <cell r="G49">
            <v>0.84581582744524841</v>
          </cell>
          <cell r="H49">
            <v>0.75916784894423062</v>
          </cell>
          <cell r="L49">
            <v>-0.19276799999999999</v>
          </cell>
          <cell r="Q49">
            <v>5.4404830000000004</v>
          </cell>
          <cell r="R49">
            <v>889</v>
          </cell>
        </row>
        <row r="50">
          <cell r="A50" t="str">
            <v>Guideway-Guarded Platform Ballasted Track</v>
          </cell>
          <cell r="E50">
            <v>0.97219428567879984</v>
          </cell>
          <cell r="F50">
            <v>0.94866829578129952</v>
          </cell>
          <cell r="G50">
            <v>0.91587258406825933</v>
          </cell>
          <cell r="H50">
            <v>0.86687234736222052</v>
          </cell>
          <cell r="L50">
            <v>-0.144931</v>
          </cell>
          <cell r="Q50">
            <v>7.9779510000000009</v>
          </cell>
          <cell r="R50">
            <v>778</v>
          </cell>
        </row>
        <row r="51">
          <cell r="A51" t="str">
            <v>Guideway-Retained Cut</v>
          </cell>
          <cell r="E51">
            <v>0.9927532157208121</v>
          </cell>
          <cell r="F51">
            <v>0.97071383821779955</v>
          </cell>
          <cell r="G51">
            <v>0.94230212986087547</v>
          </cell>
          <cell r="H51">
            <v>0.90198265133535771</v>
          </cell>
          <cell r="L51">
            <v>-4.3638999999999997E-2</v>
          </cell>
          <cell r="Q51">
            <v>4.4403199999999998</v>
          </cell>
          <cell r="R51">
            <v>14311</v>
          </cell>
        </row>
        <row r="52">
          <cell r="A52" t="str">
            <v>Guideway-Retaining Wall</v>
          </cell>
          <cell r="E52">
            <v>0.9507136617539198</v>
          </cell>
          <cell r="F52">
            <v>0.92752159251741695</v>
          </cell>
          <cell r="G52">
            <v>0.89084130410257933</v>
          </cell>
          <cell r="H52">
            <v>0.83338825921242587</v>
          </cell>
          <cell r="L52">
            <v>-7.7524999999999997E-2</v>
          </cell>
          <cell r="Q52">
            <v>2.6465529999999999</v>
          </cell>
          <cell r="R52">
            <v>87</v>
          </cell>
        </row>
        <row r="53">
          <cell r="A53" t="str">
            <v>Guideway-Special Trackwork</v>
          </cell>
          <cell r="E53">
            <v>0.94685810482318544</v>
          </cell>
          <cell r="F53">
            <v>0.91151669149182157</v>
          </cell>
          <cell r="G53">
            <v>0.8599670574718451</v>
          </cell>
          <cell r="H53">
            <v>0.78114503326632634</v>
          </cell>
          <cell r="L53">
            <v>-0.18199899999999999</v>
          </cell>
          <cell r="Q53">
            <v>5.6887309999999998</v>
          </cell>
          <cell r="R53">
            <v>3776</v>
          </cell>
        </row>
        <row r="54">
          <cell r="A54" t="str">
            <v>Guideway-Steel Viaduct</v>
          </cell>
          <cell r="E54">
            <v>0.98481410146275206</v>
          </cell>
          <cell r="F54">
            <v>0.96429045566787619</v>
          </cell>
          <cell r="G54">
            <v>0.94102712917019427</v>
          </cell>
          <cell r="H54">
            <v>0.60163387025564496</v>
          </cell>
          <cell r="L54">
            <v>-5.0326999999999997E-2</v>
          </cell>
          <cell r="Q54">
            <v>3.8237430000000003</v>
          </cell>
          <cell r="R54">
            <v>10992</v>
          </cell>
        </row>
        <row r="55">
          <cell r="A55" t="str">
            <v>Guideway-Subway Bus</v>
          </cell>
          <cell r="E55">
            <v>0.98084956591502181</v>
          </cell>
          <cell r="F55">
            <v>0.958719616609504</v>
          </cell>
          <cell r="G55">
            <v>0.92880457142663009</v>
          </cell>
          <cell r="H55">
            <v>0.88485906393406577</v>
          </cell>
          <cell r="L55">
            <v>-0.141972246</v>
          </cell>
          <cell r="Q55">
            <v>6</v>
          </cell>
          <cell r="R55">
            <v>24227</v>
          </cell>
        </row>
        <row r="56">
          <cell r="A56" t="str">
            <v>Guideway-Tangent Ballasted Track</v>
          </cell>
          <cell r="E56">
            <v>0.95579873690300721</v>
          </cell>
          <cell r="F56">
            <v>0.92538707672105813</v>
          </cell>
          <cell r="G56">
            <v>0.88140887073448515</v>
          </cell>
          <cell r="H56">
            <v>0.81441437877400424</v>
          </cell>
          <cell r="L56">
            <v>-0.17158599999999999</v>
          </cell>
          <cell r="Q56">
            <v>6.4212800000000003</v>
          </cell>
          <cell r="R56">
            <v>639</v>
          </cell>
        </row>
        <row r="57">
          <cell r="A57" t="str">
            <v>Guideway-Tangent Direct Fixation Track</v>
          </cell>
          <cell r="E57">
            <v>0.9604416321669339</v>
          </cell>
          <cell r="F57">
            <v>0.93234487598181115</v>
          </cell>
          <cell r="G57">
            <v>0.89201285347518666</v>
          </cell>
          <cell r="H57">
            <v>0.83080493765534102</v>
          </cell>
          <cell r="L57">
            <v>-0.16731699999999999</v>
          </cell>
          <cell r="Q57">
            <v>6.9424510000000001</v>
          </cell>
          <cell r="R57">
            <v>706</v>
          </cell>
        </row>
        <row r="58">
          <cell r="A58" t="str">
            <v>Guideway-Tangent Embedded Track</v>
          </cell>
          <cell r="E58">
            <v>0.9604416321669339</v>
          </cell>
          <cell r="F58">
            <v>0.93234487598181115</v>
          </cell>
          <cell r="G58">
            <v>0.89201285347518666</v>
          </cell>
          <cell r="H58">
            <v>0.83080493765534102</v>
          </cell>
          <cell r="L58">
            <v>-0.16731699999999999</v>
          </cell>
          <cell r="Q58">
            <v>6.9424510000000001</v>
          </cell>
          <cell r="R58">
            <v>557</v>
          </cell>
        </row>
        <row r="59">
          <cell r="A59" t="str">
            <v>Guideway-Tunnel</v>
          </cell>
          <cell r="E59">
            <v>0.9927532157208121</v>
          </cell>
          <cell r="F59">
            <v>0.97071383821779955</v>
          </cell>
          <cell r="G59">
            <v>0.94230212986087547</v>
          </cell>
          <cell r="H59">
            <v>0.90198265133535771</v>
          </cell>
          <cell r="L59">
            <v>-4.3638999999999997E-2</v>
          </cell>
          <cell r="Q59">
            <v>4.4403199999999998</v>
          </cell>
          <cell r="R59">
            <v>25679</v>
          </cell>
        </row>
        <row r="60">
          <cell r="A60" t="str">
            <v>Guideway-Turntable</v>
          </cell>
          <cell r="E60">
            <v>0.95022123612706344</v>
          </cell>
          <cell r="F60">
            <v>0.91681049183018981</v>
          </cell>
          <cell r="G60">
            <v>0.86819483072294579</v>
          </cell>
          <cell r="H60">
            <v>0.79392501942722826</v>
          </cell>
          <cell r="L60">
            <v>-0.176232</v>
          </cell>
          <cell r="Q60">
            <v>5.876843</v>
          </cell>
          <cell r="R60">
            <v>641862</v>
          </cell>
        </row>
        <row r="61">
          <cell r="A61" t="str">
            <v>Guideway-Wood Tie</v>
          </cell>
          <cell r="E61">
            <v>0.90246828843803673</v>
          </cell>
          <cell r="F61">
            <v>0.83823360714964701</v>
          </cell>
          <cell r="G61">
            <v>0.74432225538143459</v>
          </cell>
          <cell r="H61">
            <v>0.60140479612026387</v>
          </cell>
          <cell r="L61">
            <v>-0.35489999999999999</v>
          </cell>
          <cell r="Q61">
            <v>6</v>
          </cell>
          <cell r="R61">
            <v>31</v>
          </cell>
        </row>
        <row r="62">
          <cell r="A62" t="str">
            <v>Guideway-Yard Track</v>
          </cell>
          <cell r="E62">
            <v>0.9503627212966208</v>
          </cell>
          <cell r="F62">
            <v>0.91693721680613582</v>
          </cell>
          <cell r="G62">
            <v>0.86832765497862896</v>
          </cell>
          <cell r="H62">
            <v>0.7941034206446661</v>
          </cell>
          <cell r="L62">
            <v>-0.18229999999999999</v>
          </cell>
          <cell r="Q62">
            <v>6.0981000000000005</v>
          </cell>
          <cell r="R62">
            <v>731</v>
          </cell>
        </row>
        <row r="63">
          <cell r="A63" t="str">
            <v>Station-Building-Rail</v>
          </cell>
          <cell r="E63">
            <v>0.9484020150802126</v>
          </cell>
          <cell r="F63">
            <v>0.91841373336737731</v>
          </cell>
          <cell r="G63">
            <v>0.87371758980666847</v>
          </cell>
          <cell r="H63">
            <v>0.80458741095163944</v>
          </cell>
          <cell r="L63">
            <v>-0.102545</v>
          </cell>
          <cell r="Q63">
            <v>3.2936999999999999</v>
          </cell>
          <cell r="R63">
            <v>9336167</v>
          </cell>
        </row>
        <row r="64">
          <cell r="A64" t="str">
            <v>Stations-At-Grade Rail Platform</v>
          </cell>
          <cell r="E64">
            <v>0.97102414700244832</v>
          </cell>
          <cell r="F64">
            <v>0.94863166450009273</v>
          </cell>
          <cell r="G64">
            <v>0.91684928021171019</v>
          </cell>
          <cell r="H64">
            <v>0.86900688311518581</v>
          </cell>
          <cell r="L64">
            <v>-6.4799999999999996E-2</v>
          </cell>
          <cell r="Q64">
            <v>3.4033000000000002</v>
          </cell>
          <cell r="R64">
            <v>240</v>
          </cell>
        </row>
        <row r="65">
          <cell r="A65" t="str">
            <v>Stations-Building/Ground Access-Bus</v>
          </cell>
          <cell r="E65">
            <v>0.95819325844533121</v>
          </cell>
          <cell r="F65">
            <v>0.93087546260315879</v>
          </cell>
          <cell r="G65">
            <v>0.89113963047514388</v>
          </cell>
          <cell r="H65">
            <v>0.83027009236782912</v>
          </cell>
          <cell r="L65">
            <v>-9.9561999999999998E-2</v>
          </cell>
          <cell r="Q65">
            <v>3.898359632</v>
          </cell>
          <cell r="R65">
            <v>1078826</v>
          </cell>
        </row>
        <row r="66">
          <cell r="A66" t="str">
            <v>Stations-Building-Subway</v>
          </cell>
          <cell r="E66">
            <v>0.9927532157208121</v>
          </cell>
          <cell r="F66">
            <v>0.97071383821779955</v>
          </cell>
          <cell r="G66">
            <v>0.94230212986087547</v>
          </cell>
          <cell r="H66">
            <v>0.90198265133535771</v>
          </cell>
          <cell r="L66">
            <v>-4.3638999999999997E-2</v>
          </cell>
          <cell r="Q66">
            <v>4.4403199999999998</v>
          </cell>
          <cell r="R66">
            <v>36094751</v>
          </cell>
        </row>
        <row r="67">
          <cell r="A67" t="str">
            <v>Stations-Bus Shelter</v>
          </cell>
          <cell r="E67">
            <v>0.90246828843803673</v>
          </cell>
          <cell r="F67">
            <v>0.83823360714964701</v>
          </cell>
          <cell r="G67">
            <v>0.74432225538143459</v>
          </cell>
          <cell r="H67">
            <v>0.60140479612026387</v>
          </cell>
          <cell r="L67">
            <v>-0.35493000000000002</v>
          </cell>
          <cell r="Q67">
            <v>6</v>
          </cell>
          <cell r="R67">
            <v>20881</v>
          </cell>
        </row>
        <row r="68">
          <cell r="A68" t="str">
            <v>Stations-Bus Station Platform</v>
          </cell>
          <cell r="E68">
            <v>0.97102414700244832</v>
          </cell>
          <cell r="F68">
            <v>0.94863166450009273</v>
          </cell>
          <cell r="G68">
            <v>0.91684928021171019</v>
          </cell>
          <cell r="H68">
            <v>0.86900688311518581</v>
          </cell>
          <cell r="L68">
            <v>-6.4814999999999998E-2</v>
          </cell>
          <cell r="Q68">
            <v>3.4032810000000007</v>
          </cell>
          <cell r="R68">
            <v>407</v>
          </cell>
        </row>
        <row r="69">
          <cell r="A69" t="str">
            <v>Stations-Elevated Rail Platform</v>
          </cell>
          <cell r="E69">
            <v>0.97647312522699337</v>
          </cell>
          <cell r="F69">
            <v>0.95463387519873999</v>
          </cell>
          <cell r="G69">
            <v>0.92429482813473629</v>
          </cell>
          <cell r="H69">
            <v>0.87913336222372507</v>
          </cell>
          <cell r="L69">
            <v>-5.8835999999999999E-2</v>
          </cell>
          <cell r="Q69">
            <v>3.5470459999999995</v>
          </cell>
          <cell r="R69">
            <v>407</v>
          </cell>
        </row>
        <row r="70">
          <cell r="A70" t="str">
            <v>Stations-Elevator/Escalator</v>
          </cell>
          <cell r="E70">
            <v>0.98084956591502181</v>
          </cell>
          <cell r="F70">
            <v>0.958719616609504</v>
          </cell>
          <cell r="G70">
            <v>0.92880457142663009</v>
          </cell>
          <cell r="H70">
            <v>0.88485906393406577</v>
          </cell>
          <cell r="L70">
            <v>-0.23662041</v>
          </cell>
          <cell r="Q70">
            <v>6</v>
          </cell>
          <cell r="R70">
            <v>600815</v>
          </cell>
        </row>
        <row r="71">
          <cell r="A71" t="str">
            <v>Stations-Ferry Terminal Building/Dock</v>
          </cell>
          <cell r="E71">
            <v>0.97047686394545296</v>
          </cell>
          <cell r="F71">
            <v>0.94786463931152609</v>
          </cell>
          <cell r="G71">
            <v>0.91575828090617228</v>
          </cell>
          <cell r="H71">
            <v>0.86735646437661806</v>
          </cell>
          <cell r="L71">
            <v>-6.6658999999999996E-2</v>
          </cell>
          <cell r="Q71">
            <v>3.454542</v>
          </cell>
          <cell r="R71">
            <v>10697704</v>
          </cell>
        </row>
        <row r="72">
          <cell r="A72" t="str">
            <v>Stations-Parking Equipment</v>
          </cell>
          <cell r="E72">
            <v>0.90246828843803673</v>
          </cell>
          <cell r="F72">
            <v>0.83823360714964701</v>
          </cell>
          <cell r="G72">
            <v>0.74432225538143459</v>
          </cell>
          <cell r="H72">
            <v>0.60140479612026387</v>
          </cell>
          <cell r="L72">
            <v>-0.35489999999999999</v>
          </cell>
          <cell r="Q72">
            <v>6</v>
          </cell>
          <cell r="R72">
            <v>79816</v>
          </cell>
        </row>
        <row r="73">
          <cell r="A73" t="str">
            <v>Stations-Parking Garage/Lot</v>
          </cell>
          <cell r="E73">
            <v>0.90246828843803673</v>
          </cell>
          <cell r="F73">
            <v>0.83823360714964701</v>
          </cell>
          <cell r="G73">
            <v>0.74432225538143459</v>
          </cell>
          <cell r="H73">
            <v>0.60140479612026387</v>
          </cell>
          <cell r="L73">
            <v>-0.35493061399999998</v>
          </cell>
          <cell r="Q73">
            <v>6</v>
          </cell>
          <cell r="R73">
            <v>21323</v>
          </cell>
        </row>
        <row r="74">
          <cell r="A74" t="str">
            <v>Stations-Pedestrian Walkway/Elevated</v>
          </cell>
          <cell r="E74">
            <v>0.98925974892847823</v>
          </cell>
          <cell r="F74">
            <v>0.96727748509524458</v>
          </cell>
          <cell r="G74">
            <v>0.93864079380986876</v>
          </cell>
          <cell r="H74">
            <v>0.89739199292791583</v>
          </cell>
          <cell r="L74">
            <v>-7.0999999999999994E-2</v>
          </cell>
          <cell r="Q74">
            <v>6</v>
          </cell>
          <cell r="R74">
            <v>1571798</v>
          </cell>
        </row>
        <row r="75">
          <cell r="A75" t="str">
            <v>Stations-Pedestrian Walkway/Subway</v>
          </cell>
          <cell r="E75">
            <v>0.98925974892847823</v>
          </cell>
          <cell r="F75">
            <v>0.96727748509524458</v>
          </cell>
          <cell r="G75">
            <v>0.93864079380986876</v>
          </cell>
          <cell r="H75">
            <v>0.89739199292791583</v>
          </cell>
          <cell r="L75">
            <v>-7.0989999999999998E-2</v>
          </cell>
          <cell r="Q75">
            <v>6</v>
          </cell>
          <cell r="R75">
            <v>32334682</v>
          </cell>
        </row>
        <row r="76">
          <cell r="A76" t="str">
            <v>Stations-Shelter-Rail</v>
          </cell>
          <cell r="E76">
            <v>0.90246828843803673</v>
          </cell>
          <cell r="F76">
            <v>0.83823360714964701</v>
          </cell>
          <cell r="G76">
            <v>0.74432225538143459</v>
          </cell>
          <cell r="H76">
            <v>0.60140479612026387</v>
          </cell>
          <cell r="L76">
            <v>-0.35493000000000002</v>
          </cell>
          <cell r="Q76">
            <v>6</v>
          </cell>
          <cell r="R76">
            <v>34801</v>
          </cell>
        </row>
        <row r="77">
          <cell r="A77" t="str">
            <v>Stations-Signage &amp; Graphics</v>
          </cell>
          <cell r="E77">
            <v>0.90246828843803673</v>
          </cell>
          <cell r="F77">
            <v>0.83823360714964701</v>
          </cell>
          <cell r="G77">
            <v>0.74432225538143459</v>
          </cell>
          <cell r="H77">
            <v>0.60140479612026387</v>
          </cell>
          <cell r="L77">
            <v>-0.35493061399999998</v>
          </cell>
          <cell r="Q77">
            <v>6</v>
          </cell>
          <cell r="R77">
            <v>84162</v>
          </cell>
        </row>
        <row r="78">
          <cell r="A78" t="str">
            <v>Stations-Station Canopy</v>
          </cell>
          <cell r="E78">
            <v>0.97047686394545296</v>
          </cell>
          <cell r="F78">
            <v>0.94786463931152609</v>
          </cell>
          <cell r="G78">
            <v>0.91575828090617228</v>
          </cell>
          <cell r="H78">
            <v>0.86735646437661806</v>
          </cell>
          <cell r="L78">
            <v>-6.6658999999999996E-2</v>
          </cell>
          <cell r="Q78">
            <v>3.454542</v>
          </cell>
          <cell r="R78">
            <v>139203</v>
          </cell>
        </row>
        <row r="79">
          <cell r="A79" t="str">
            <v>Stations-Subway Rail Platform</v>
          </cell>
          <cell r="E79">
            <v>0.98480113001343017</v>
          </cell>
          <cell r="F79">
            <v>0.96279516396877152</v>
          </cell>
          <cell r="G79">
            <v>0.93346420423858067</v>
          </cell>
          <cell r="H79">
            <v>0.89075844259663206</v>
          </cell>
          <cell r="L79">
            <v>-6.0684000000000002E-2</v>
          </cell>
          <cell r="Q79">
            <v>4.5704290000000007</v>
          </cell>
          <cell r="R79">
            <v>240</v>
          </cell>
        </row>
        <row r="80">
          <cell r="A80" t="str">
            <v>Stations-Token Booth</v>
          </cell>
          <cell r="E80">
            <v>0.90246828843803673</v>
          </cell>
          <cell r="F80">
            <v>0.83823360714964701</v>
          </cell>
          <cell r="G80">
            <v>0.74432225538143459</v>
          </cell>
          <cell r="H80">
            <v>0.60140479612026387</v>
          </cell>
          <cell r="L80">
            <v>-0.35493000000000002</v>
          </cell>
          <cell r="Q80">
            <v>6</v>
          </cell>
          <cell r="R80">
            <v>20881</v>
          </cell>
        </row>
        <row r="81">
          <cell r="A81" t="str">
            <v>Systems-Air Conditioning/HVAC-Subway</v>
          </cell>
          <cell r="E81">
            <v>0.90246828843803673</v>
          </cell>
          <cell r="F81">
            <v>0.83823360714964701</v>
          </cell>
          <cell r="G81">
            <v>0.74432225538143459</v>
          </cell>
          <cell r="H81">
            <v>0.60140479612026387</v>
          </cell>
          <cell r="L81">
            <v>-0.35489999999999999</v>
          </cell>
          <cell r="Q81">
            <v>6</v>
          </cell>
          <cell r="R81">
            <v>28610</v>
          </cell>
        </row>
        <row r="82">
          <cell r="A82" t="str">
            <v>Systems-Bus On-Board Video System</v>
          </cell>
          <cell r="E82">
            <v>0.90246828843803673</v>
          </cell>
          <cell r="F82">
            <v>0.83823360714964701</v>
          </cell>
          <cell r="G82">
            <v>0.74432225538143459</v>
          </cell>
          <cell r="H82">
            <v>0.60140479612026387</v>
          </cell>
          <cell r="L82">
            <v>-0.35493000000000002</v>
          </cell>
          <cell r="Q82">
            <v>6</v>
          </cell>
          <cell r="R82">
            <v>16047</v>
          </cell>
        </row>
        <row r="83">
          <cell r="A83" t="str">
            <v>Systems-Central Revenue Collection</v>
          </cell>
          <cell r="E83">
            <v>0.90246828843803673</v>
          </cell>
          <cell r="F83">
            <v>0.83823360714964701</v>
          </cell>
          <cell r="G83">
            <v>0.74432225538143459</v>
          </cell>
          <cell r="H83">
            <v>0.60140479612026387</v>
          </cell>
          <cell r="L83">
            <v>-0.35493000000000002</v>
          </cell>
          <cell r="Q83">
            <v>6</v>
          </cell>
          <cell r="R83">
            <v>2593042</v>
          </cell>
        </row>
        <row r="84">
          <cell r="A84" t="str">
            <v>Systems-Centralized Train Control</v>
          </cell>
          <cell r="E84">
            <v>0.98084956591502181</v>
          </cell>
          <cell r="F84">
            <v>0.958719616609504</v>
          </cell>
          <cell r="G84">
            <v>0.92880457142663009</v>
          </cell>
          <cell r="H84">
            <v>0.88485906393406577</v>
          </cell>
          <cell r="L84">
            <v>-0.14199999999999999</v>
          </cell>
          <cell r="Q84">
            <v>6</v>
          </cell>
          <cell r="R84">
            <v>20771657</v>
          </cell>
        </row>
        <row r="85">
          <cell r="A85" t="str">
            <v>Systems-Change Machine</v>
          </cell>
          <cell r="E85">
            <v>0.8708375057154264</v>
          </cell>
          <cell r="F85">
            <v>0.78630321152668459</v>
          </cell>
          <cell r="G85">
            <v>0.66259331295397528</v>
          </cell>
          <cell r="H85">
            <v>0.47516523099353081</v>
          </cell>
          <cell r="L85">
            <v>-0.47324081899999998</v>
          </cell>
          <cell r="Q85">
            <v>6</v>
          </cell>
          <cell r="R85">
            <v>13344</v>
          </cell>
        </row>
        <row r="86">
          <cell r="A86" t="str">
            <v>Systems-Coin/Bill Counter</v>
          </cell>
          <cell r="E86">
            <v>0.74544066468862014</v>
          </cell>
          <cell r="F86">
            <v>0.5</v>
          </cell>
          <cell r="G86">
            <v>0.25</v>
          </cell>
          <cell r="H86">
            <v>0.25</v>
          </cell>
          <cell r="L86">
            <v>-1.4197224580000001</v>
          </cell>
          <cell r="Q86">
            <v>6</v>
          </cell>
          <cell r="R86">
            <v>2862</v>
          </cell>
        </row>
        <row r="87">
          <cell r="A87" t="str">
            <v>Systems-Communciations</v>
          </cell>
          <cell r="E87">
            <v>0.89401569386215252</v>
          </cell>
          <cell r="F87">
            <v>0.82933985904581298</v>
          </cell>
          <cell r="G87">
            <v>0.73356998673104012</v>
          </cell>
          <cell r="H87">
            <v>0.58653038368850308</v>
          </cell>
          <cell r="L87">
            <v>-0.25507800000000003</v>
          </cell>
          <cell r="Q87">
            <v>3.9503522129999999</v>
          </cell>
          <cell r="R87">
            <v>286102</v>
          </cell>
        </row>
        <row r="88">
          <cell r="A88" t="str">
            <v>Systems-Communications Cable</v>
          </cell>
          <cell r="E88">
            <v>0.90246828843803673</v>
          </cell>
          <cell r="F88">
            <v>0.83823360714964701</v>
          </cell>
          <cell r="G88">
            <v>0.74432225538143459</v>
          </cell>
          <cell r="H88">
            <v>0.60140479612026387</v>
          </cell>
          <cell r="L88">
            <v>-0.35493000000000002</v>
          </cell>
          <cell r="Q88">
            <v>6</v>
          </cell>
          <cell r="R88">
            <v>31</v>
          </cell>
        </row>
        <row r="89">
          <cell r="A89" t="str">
            <v>Systems-Communications Hut or Room</v>
          </cell>
          <cell r="E89">
            <v>0.95328532684960499</v>
          </cell>
          <cell r="F89">
            <v>0.92210362363830489</v>
          </cell>
          <cell r="G89">
            <v>0.876759791393254</v>
          </cell>
          <cell r="H89">
            <v>0.80739383816145249</v>
          </cell>
          <cell r="L89">
            <v>-0.14399999999999999</v>
          </cell>
          <cell r="Q89">
            <v>5.0999999999999996</v>
          </cell>
          <cell r="R89">
            <v>3433226</v>
          </cell>
        </row>
        <row r="90">
          <cell r="A90" t="str">
            <v>Systems-Compressed Air Pipes</v>
          </cell>
          <cell r="E90">
            <v>0.90246828843803673</v>
          </cell>
          <cell r="F90">
            <v>0.83823360714964701</v>
          </cell>
          <cell r="G90">
            <v>0.74432225538143459</v>
          </cell>
          <cell r="H90">
            <v>0.60140479612026387</v>
          </cell>
          <cell r="L90">
            <v>-0.35489999999999999</v>
          </cell>
          <cell r="Q90">
            <v>6</v>
          </cell>
          <cell r="R90">
            <v>114</v>
          </cell>
        </row>
        <row r="91">
          <cell r="A91" t="str">
            <v>Systems-Deep Utility Well</v>
          </cell>
          <cell r="E91">
            <v>0.97123168085626499</v>
          </cell>
          <cell r="F91">
            <v>0.94747068428483128</v>
          </cell>
          <cell r="G91">
            <v>0.91419448392380254</v>
          </cell>
          <cell r="H91">
            <v>0.86426496999691438</v>
          </cell>
          <cell r="L91">
            <v>-9.9561999999999998E-2</v>
          </cell>
          <cell r="Q91">
            <v>5.3056999999999999</v>
          </cell>
          <cell r="R91">
            <v>57220431</v>
          </cell>
        </row>
        <row r="92">
          <cell r="A92" t="str">
            <v>Systems-Electrical Systems</v>
          </cell>
          <cell r="E92">
            <v>0.90246828843803673</v>
          </cell>
          <cell r="F92">
            <v>0.83823360714964701</v>
          </cell>
          <cell r="G92">
            <v>0.74432225538143459</v>
          </cell>
          <cell r="H92">
            <v>0.60140479612026387</v>
          </cell>
          <cell r="L92">
            <v>-0.35489999999999999</v>
          </cell>
          <cell r="Q92">
            <v>6</v>
          </cell>
          <cell r="R92">
            <v>1144409</v>
          </cell>
        </row>
        <row r="93">
          <cell r="A93" t="str">
            <v>Systems-Electrification</v>
          </cell>
          <cell r="E93">
            <v>0.94984315332330937</v>
          </cell>
          <cell r="F93">
            <v>0.91688695050873004</v>
          </cell>
          <cell r="G93">
            <v>0.86877620318265814</v>
          </cell>
          <cell r="H93">
            <v>0.79506616507162808</v>
          </cell>
          <cell r="L93">
            <v>-0.14854300000000001</v>
          </cell>
          <cell r="Q93">
            <v>4.9087959970000004</v>
          </cell>
          <cell r="R93">
            <v>294</v>
          </cell>
        </row>
        <row r="94">
          <cell r="A94" t="str">
            <v>Systems-Electrification Breaker House</v>
          </cell>
          <cell r="E94">
            <v>0.9484020150802126</v>
          </cell>
          <cell r="F94">
            <v>0.91841373336737731</v>
          </cell>
          <cell r="G94">
            <v>0.87371758980666847</v>
          </cell>
          <cell r="H94">
            <v>0.80458741095163944</v>
          </cell>
          <cell r="L94">
            <v>-0.102545</v>
          </cell>
          <cell r="Q94">
            <v>3.2936999999999999</v>
          </cell>
          <cell r="R94">
            <v>652516</v>
          </cell>
        </row>
        <row r="95">
          <cell r="A95" t="str">
            <v>Systems-Electrification Catenary/Pole</v>
          </cell>
          <cell r="E95">
            <v>0.95328532684960499</v>
          </cell>
          <cell r="F95">
            <v>0.92210362363830489</v>
          </cell>
          <cell r="G95">
            <v>0.876759791393254</v>
          </cell>
          <cell r="H95">
            <v>0.80739383816145249</v>
          </cell>
          <cell r="L95">
            <v>-0.14399999999999999</v>
          </cell>
          <cell r="Q95">
            <v>5.0999999999999996</v>
          </cell>
          <cell r="R95">
            <v>182</v>
          </cell>
        </row>
        <row r="96">
          <cell r="A96" t="str">
            <v>Systems-Electrification Contact Rail/Protection Boards</v>
          </cell>
          <cell r="E96">
            <v>0.90246828843803673</v>
          </cell>
          <cell r="F96">
            <v>0.83823360714964701</v>
          </cell>
          <cell r="G96">
            <v>0.74432225538143459</v>
          </cell>
          <cell r="H96">
            <v>0.60140479612026387</v>
          </cell>
          <cell r="L96">
            <v>-0.35489999999999999</v>
          </cell>
          <cell r="Q96">
            <v>6</v>
          </cell>
          <cell r="R96">
            <v>315</v>
          </cell>
        </row>
        <row r="97">
          <cell r="A97" t="str">
            <v>Systems-Electrification Substation</v>
          </cell>
          <cell r="E97">
            <v>0.95328532684960499</v>
          </cell>
          <cell r="F97">
            <v>0.92210362363830489</v>
          </cell>
          <cell r="G97">
            <v>0.876759791393254</v>
          </cell>
          <cell r="H97">
            <v>0.80739383816145249</v>
          </cell>
          <cell r="L97">
            <v>-0.14399999999999999</v>
          </cell>
          <cell r="Q97">
            <v>5.0999999999999996</v>
          </cell>
          <cell r="R97">
            <v>3958596</v>
          </cell>
        </row>
        <row r="98">
          <cell r="A98" t="str">
            <v>Systems-Electrification Substation Building Components</v>
          </cell>
          <cell r="E98">
            <v>0.95819325844533121</v>
          </cell>
          <cell r="F98">
            <v>0.93087546260315879</v>
          </cell>
          <cell r="G98">
            <v>0.89113963047514388</v>
          </cell>
          <cell r="H98">
            <v>0.83027009236782912</v>
          </cell>
          <cell r="L98">
            <v>-9.9561999999999998E-2</v>
          </cell>
          <cell r="Q98">
            <v>3.898359632</v>
          </cell>
          <cell r="R98">
            <v>1144409</v>
          </cell>
        </row>
        <row r="99">
          <cell r="A99" t="str">
            <v>Systems-Emergency Exit</v>
          </cell>
          <cell r="E99">
            <v>0.98084956591502181</v>
          </cell>
          <cell r="F99">
            <v>0.958719616609504</v>
          </cell>
          <cell r="G99">
            <v>0.92880457142663009</v>
          </cell>
          <cell r="H99">
            <v>0.88485906393406577</v>
          </cell>
          <cell r="L99">
            <v>-0.141972246</v>
          </cell>
          <cell r="Q99">
            <v>6</v>
          </cell>
          <cell r="R99">
            <v>22888173</v>
          </cell>
        </row>
        <row r="100">
          <cell r="A100" t="str">
            <v>Systems-Emergency Location System</v>
          </cell>
          <cell r="E100">
            <v>0.90246828843803673</v>
          </cell>
          <cell r="F100">
            <v>0.83823360714964701</v>
          </cell>
          <cell r="G100">
            <v>0.74432225538143459</v>
          </cell>
          <cell r="H100">
            <v>0.60140479612026387</v>
          </cell>
          <cell r="L100">
            <v>-0.35489999999999999</v>
          </cell>
          <cell r="Q100">
            <v>6</v>
          </cell>
          <cell r="R100">
            <v>13920</v>
          </cell>
        </row>
        <row r="101">
          <cell r="A101" t="str">
            <v>Systems-Fan Plant</v>
          </cell>
          <cell r="E101">
            <v>0.90246828843803673</v>
          </cell>
          <cell r="F101">
            <v>0.83823360714964701</v>
          </cell>
          <cell r="G101">
            <v>0.74432225538143459</v>
          </cell>
          <cell r="H101">
            <v>0.60140479612026387</v>
          </cell>
          <cell r="L101">
            <v>-0.35489999999999999</v>
          </cell>
          <cell r="Q101">
            <v>6</v>
          </cell>
          <cell r="R101">
            <v>39774099</v>
          </cell>
        </row>
        <row r="102">
          <cell r="A102" t="str">
            <v>Systems-Gates, Flashers, Crossings</v>
          </cell>
          <cell r="E102">
            <v>0.90246828843803673</v>
          </cell>
          <cell r="F102">
            <v>0.83823360714964701</v>
          </cell>
          <cell r="G102">
            <v>0.74432225538143459</v>
          </cell>
          <cell r="H102">
            <v>0.60140479612026387</v>
          </cell>
          <cell r="L102">
            <v>-0.35489999999999999</v>
          </cell>
          <cell r="Q102">
            <v>6</v>
          </cell>
          <cell r="R102">
            <v>330608</v>
          </cell>
        </row>
        <row r="103">
          <cell r="A103" t="str">
            <v>Systems-Guideway Drainage</v>
          </cell>
          <cell r="E103">
            <v>0.95819325844533121</v>
          </cell>
          <cell r="F103">
            <v>0.93087546260315879</v>
          </cell>
          <cell r="G103">
            <v>0.89113963047514388</v>
          </cell>
          <cell r="H103">
            <v>0.83027009236782912</v>
          </cell>
          <cell r="L103">
            <v>-9.9561999999999998E-2</v>
          </cell>
          <cell r="Q103">
            <v>3.6141000000000001</v>
          </cell>
          <cell r="R103">
            <v>115</v>
          </cell>
        </row>
        <row r="104">
          <cell r="A104" t="str">
            <v>Systems-Heaters</v>
          </cell>
          <cell r="E104">
            <v>0.89401569386215252</v>
          </cell>
          <cell r="F104">
            <v>0.82933985904581298</v>
          </cell>
          <cell r="G104">
            <v>0.73356998673104012</v>
          </cell>
          <cell r="H104">
            <v>0.58653038368850308</v>
          </cell>
          <cell r="L104">
            <v>-0.25507800000000003</v>
          </cell>
          <cell r="Q104">
            <v>3.9503522129999999</v>
          </cell>
          <cell r="R104">
            <v>22888</v>
          </cell>
        </row>
        <row r="105">
          <cell r="A105" t="str">
            <v>Systems-High Tension Towers</v>
          </cell>
          <cell r="E105">
            <v>0.98083418824956659</v>
          </cell>
          <cell r="F105">
            <v>0.9587049163986352</v>
          </cell>
          <cell r="G105">
            <v>0.9287843724251954</v>
          </cell>
          <cell r="H105">
            <v>0.88480844768298816</v>
          </cell>
          <cell r="L105">
            <v>-8.8700000000000001E-2</v>
          </cell>
          <cell r="Q105">
            <v>6</v>
          </cell>
          <cell r="R105">
            <v>286102</v>
          </cell>
        </row>
        <row r="106">
          <cell r="A106" t="str">
            <v>Systems-In Station Revenue Collection Equipment</v>
          </cell>
          <cell r="E106">
            <v>0.89401569386215252</v>
          </cell>
          <cell r="F106">
            <v>0.82933985904581298</v>
          </cell>
          <cell r="G106">
            <v>0.73356998673104012</v>
          </cell>
          <cell r="H106">
            <v>0.58653038368850308</v>
          </cell>
          <cell r="L106">
            <v>-0.47324081899999998</v>
          </cell>
          <cell r="Q106">
            <v>6</v>
          </cell>
          <cell r="R106">
            <v>38220</v>
          </cell>
        </row>
        <row r="107">
          <cell r="A107" t="str">
            <v>Systems-Interlocking</v>
          </cell>
          <cell r="E107">
            <v>0.95298881870903118</v>
          </cell>
          <cell r="F107">
            <v>0.9252627546408051</v>
          </cell>
          <cell r="G107">
            <v>0.88410861420242759</v>
          </cell>
          <cell r="H107">
            <v>0.82057010744847714</v>
          </cell>
          <cell r="L107">
            <v>-9.3054999999999999E-2</v>
          </cell>
          <cell r="Q107">
            <v>3.2686009999999999</v>
          </cell>
          <cell r="R107">
            <v>2825904</v>
          </cell>
        </row>
        <row r="108">
          <cell r="A108" t="str">
            <v>Systems-ITS, APC, AVL, CAD, GPL</v>
          </cell>
          <cell r="E108">
            <v>0.89401569386215252</v>
          </cell>
          <cell r="F108">
            <v>0.82933985904581298</v>
          </cell>
          <cell r="G108">
            <v>0.73356998673104012</v>
          </cell>
          <cell r="H108">
            <v>0.58653038368850308</v>
          </cell>
          <cell r="L108">
            <v>-0.25507800000000003</v>
          </cell>
          <cell r="Q108">
            <v>3.9503522129999999</v>
          </cell>
          <cell r="R108">
            <v>38320</v>
          </cell>
        </row>
        <row r="109">
          <cell r="A109" t="str">
            <v>Systems-Lighting</v>
          </cell>
          <cell r="E109">
            <v>0.90246828843803673</v>
          </cell>
          <cell r="F109">
            <v>0.83823360714964701</v>
          </cell>
          <cell r="G109">
            <v>0.74432225538143459</v>
          </cell>
          <cell r="H109">
            <v>0.60140479612026387</v>
          </cell>
          <cell r="L109">
            <v>-0.35489999999999999</v>
          </cell>
          <cell r="Q109">
            <v>6</v>
          </cell>
          <cell r="R109">
            <v>7</v>
          </cell>
        </row>
        <row r="110">
          <cell r="A110" t="str">
            <v>Systems-MIS/IT/Network System</v>
          </cell>
          <cell r="E110">
            <v>0.8708375057154264</v>
          </cell>
          <cell r="F110">
            <v>0.78630321152668459</v>
          </cell>
          <cell r="G110">
            <v>0.66259331295397528</v>
          </cell>
          <cell r="H110">
            <v>0.47516523099353081</v>
          </cell>
          <cell r="L110">
            <v>-0.47324081899999998</v>
          </cell>
          <cell r="Q110">
            <v>6</v>
          </cell>
          <cell r="R110">
            <v>267443</v>
          </cell>
        </row>
        <row r="111">
          <cell r="A111" t="str">
            <v>Systems-Parking Meter</v>
          </cell>
          <cell r="E111">
            <v>0.8708375057154264</v>
          </cell>
          <cell r="F111">
            <v>0.78630321152668459</v>
          </cell>
          <cell r="G111">
            <v>0.66259331295397528</v>
          </cell>
          <cell r="H111">
            <v>0.47516523099353081</v>
          </cell>
          <cell r="L111">
            <v>-0.47324081899999998</v>
          </cell>
          <cell r="Q111">
            <v>6</v>
          </cell>
          <cell r="R111">
            <v>13344</v>
          </cell>
        </row>
        <row r="112">
          <cell r="A112" t="str">
            <v>Systems-Passenger Counter-Rail</v>
          </cell>
          <cell r="E112">
            <v>0.90246828843803673</v>
          </cell>
          <cell r="F112">
            <v>0.83823360714964701</v>
          </cell>
          <cell r="G112">
            <v>0.74432225538143459</v>
          </cell>
          <cell r="H112">
            <v>0.60140479612026387</v>
          </cell>
          <cell r="L112">
            <v>-0.35489999999999999</v>
          </cell>
          <cell r="Q112">
            <v>6</v>
          </cell>
          <cell r="R112">
            <v>277435</v>
          </cell>
        </row>
        <row r="113">
          <cell r="A113" t="str">
            <v>Systems-Power Cable</v>
          </cell>
          <cell r="E113">
            <v>0.92394529533268588</v>
          </cell>
          <cell r="F113">
            <v>0.87658432238321538</v>
          </cell>
          <cell r="G113">
            <v>0.80666879512613177</v>
          </cell>
          <cell r="H113">
            <v>0.69920778373721015</v>
          </cell>
          <cell r="L113">
            <v>-0.190827</v>
          </cell>
          <cell r="Q113">
            <v>4.1464759999999998</v>
          </cell>
          <cell r="R113">
            <v>34</v>
          </cell>
        </row>
        <row r="114">
          <cell r="A114" t="str">
            <v>Systems-Pump Room</v>
          </cell>
          <cell r="E114">
            <v>0.98084956591502181</v>
          </cell>
          <cell r="F114">
            <v>0.958719616609504</v>
          </cell>
          <cell r="G114">
            <v>0.92880457142663009</v>
          </cell>
          <cell r="H114">
            <v>0.88485906393406577</v>
          </cell>
          <cell r="L114">
            <v>-0.23662</v>
          </cell>
          <cell r="Q114">
            <v>6</v>
          </cell>
          <cell r="R114">
            <v>22888173</v>
          </cell>
        </row>
        <row r="115">
          <cell r="A115" t="str">
            <v>Systems-Revenue Collection System-Rail</v>
          </cell>
          <cell r="E115">
            <v>0.90246828843803673</v>
          </cell>
          <cell r="F115">
            <v>0.83823360714964701</v>
          </cell>
          <cell r="G115">
            <v>0.74432225538143459</v>
          </cell>
          <cell r="H115">
            <v>0.60140479612026387</v>
          </cell>
          <cell r="L115">
            <v>-0.35489999999999999</v>
          </cell>
          <cell r="Q115">
            <v>6</v>
          </cell>
          <cell r="R115">
            <v>277435</v>
          </cell>
        </row>
        <row r="116">
          <cell r="A116" t="str">
            <v>Systems-Roadway Traffic Signals</v>
          </cell>
          <cell r="E116">
            <v>0.8787107491795495</v>
          </cell>
          <cell r="F116">
            <v>0.79919233153334313</v>
          </cell>
          <cell r="G116">
            <v>0.68286594698243452</v>
          </cell>
          <cell r="H116">
            <v>0.5064034760540711</v>
          </cell>
          <cell r="L116">
            <v>-0.44366</v>
          </cell>
          <cell r="Q116">
            <v>6</v>
          </cell>
          <cell r="R116">
            <v>26744</v>
          </cell>
        </row>
        <row r="117">
          <cell r="A117" t="str">
            <v>Systems-SCADA RTU</v>
          </cell>
          <cell r="E117">
            <v>0.74544066468862014</v>
          </cell>
          <cell r="F117">
            <v>0.5</v>
          </cell>
          <cell r="G117">
            <v>0.25</v>
          </cell>
          <cell r="H117">
            <v>0.25</v>
          </cell>
          <cell r="L117">
            <v>-1.4197224580000001</v>
          </cell>
          <cell r="Q117">
            <v>6</v>
          </cell>
          <cell r="R117">
            <v>141745</v>
          </cell>
        </row>
        <row r="118">
          <cell r="A118" t="str">
            <v>Systems-Signal Bridge</v>
          </cell>
          <cell r="E118">
            <v>0.9993530250839272</v>
          </cell>
          <cell r="F118">
            <v>0.97689222389350316</v>
          </cell>
          <cell r="G118">
            <v>0.95338543645321683</v>
          </cell>
          <cell r="H118">
            <v>0.79499231495113376</v>
          </cell>
          <cell r="L118">
            <v>-0.03</v>
          </cell>
          <cell r="Q118">
            <v>6</v>
          </cell>
          <cell r="R118">
            <v>1264572</v>
          </cell>
        </row>
        <row r="119">
          <cell r="A119" t="str">
            <v>Systems-Signals &amp; Train Stops</v>
          </cell>
          <cell r="E119">
            <v>0.94752685535943182</v>
          </cell>
          <cell r="F119">
            <v>0.91379631807107342</v>
          </cell>
          <cell r="G119">
            <v>0.86435780969437614</v>
          </cell>
          <cell r="H119">
            <v>0.78845275372689094</v>
          </cell>
          <cell r="L119">
            <v>-0.14091799999999999</v>
          </cell>
          <cell r="Q119">
            <v>4.4509499999999997</v>
          </cell>
          <cell r="R119">
            <v>278</v>
          </cell>
        </row>
        <row r="120">
          <cell r="A120" t="str">
            <v>Systems-Subway Ventilation</v>
          </cell>
          <cell r="E120">
            <v>0.95819325844533121</v>
          </cell>
          <cell r="F120">
            <v>0.93087546260315879</v>
          </cell>
          <cell r="G120">
            <v>0.89113963047514388</v>
          </cell>
          <cell r="H120">
            <v>0.83027009236782912</v>
          </cell>
          <cell r="L120">
            <v>-9.9561999999999998E-2</v>
          </cell>
          <cell r="Q120">
            <v>3.6141000000000001</v>
          </cell>
          <cell r="R120">
            <v>567</v>
          </cell>
        </row>
        <row r="121">
          <cell r="A121" t="str">
            <v>Systems-Sump Pump/Discharge Pipes</v>
          </cell>
          <cell r="E121">
            <v>0.90246828843803673</v>
          </cell>
          <cell r="F121">
            <v>0.83823360714964701</v>
          </cell>
          <cell r="G121">
            <v>0.74432225538143459</v>
          </cell>
          <cell r="H121">
            <v>0.60140479612026387</v>
          </cell>
          <cell r="L121">
            <v>-0.35489999999999999</v>
          </cell>
          <cell r="Q121">
            <v>6</v>
          </cell>
          <cell r="R121">
            <v>28610</v>
          </cell>
        </row>
        <row r="122">
          <cell r="A122" t="str">
            <v>Systems-System Utilities</v>
          </cell>
          <cell r="E122">
            <v>0.90246828843803673</v>
          </cell>
          <cell r="F122">
            <v>0.83823360714964701</v>
          </cell>
          <cell r="G122">
            <v>0.74432225538143459</v>
          </cell>
          <cell r="H122">
            <v>0.60140479612026387</v>
          </cell>
          <cell r="L122">
            <v>-0.35489999999999999</v>
          </cell>
          <cell r="Q122">
            <v>6</v>
          </cell>
          <cell r="R122">
            <v>567</v>
          </cell>
        </row>
        <row r="123">
          <cell r="A123" t="str">
            <v>Systems-Train Control</v>
          </cell>
          <cell r="E123">
            <v>0.94724061828060568</v>
          </cell>
          <cell r="F123">
            <v>0.91332061985317803</v>
          </cell>
          <cell r="G123">
            <v>0.86360621871184939</v>
          </cell>
          <cell r="H123">
            <v>0.78727209411611476</v>
          </cell>
          <cell r="L123">
            <v>-0.12596399999999999</v>
          </cell>
          <cell r="Q123">
            <v>3.987700764</v>
          </cell>
          <cell r="R123">
            <v>278</v>
          </cell>
        </row>
        <row r="124">
          <cell r="A124" t="str">
            <v>Systems-Train Control</v>
          </cell>
          <cell r="E124">
            <v>0.94768497079920933</v>
          </cell>
          <cell r="F124">
            <v>0.91491954130836817</v>
          </cell>
          <cell r="G124">
            <v>0.8667079902076642</v>
          </cell>
          <cell r="H124">
            <v>0.7925357087652195</v>
          </cell>
          <cell r="L124">
            <v>-0.14880099999999999</v>
          </cell>
          <cell r="Q124">
            <v>4.540578</v>
          </cell>
          <cell r="R124">
            <v>278</v>
          </cell>
        </row>
        <row r="125">
          <cell r="A125" t="str">
            <v>Systems-Train Control Cable</v>
          </cell>
          <cell r="E125">
            <v>0.94565751174438206</v>
          </cell>
          <cell r="F125">
            <v>0.91069934277488551</v>
          </cell>
          <cell r="G125">
            <v>0.85943837785089772</v>
          </cell>
          <cell r="H125">
            <v>0.78074546775560705</v>
          </cell>
          <cell r="L125">
            <v>-0.15718099999999999</v>
          </cell>
          <cell r="Q125">
            <v>4.5902808500000001</v>
          </cell>
          <cell r="R125">
            <v>30</v>
          </cell>
        </row>
        <row r="126">
          <cell r="A126" t="str">
            <v>Systems-Train Control, Elec., Comm., Revenue Collect. &amp; Util.</v>
          </cell>
          <cell r="E126">
            <v>0.94320587359825725</v>
          </cell>
          <cell r="F126">
            <v>0.90670561989966925</v>
          </cell>
          <cell r="G126">
            <v>0.85314470681606203</v>
          </cell>
          <cell r="H126">
            <v>0.77093880052950847</v>
          </cell>
          <cell r="L126">
            <v>-0.14210500000000001</v>
          </cell>
          <cell r="Q126">
            <v>4.4644424709999999</v>
          </cell>
          <cell r="R126">
            <v>667</v>
          </cell>
        </row>
        <row r="127">
          <cell r="A127" t="str">
            <v>Systems-Trolley Wire</v>
          </cell>
          <cell r="E127">
            <v>0.97123168085626499</v>
          </cell>
          <cell r="F127">
            <v>0.94747068428483128</v>
          </cell>
          <cell r="G127">
            <v>0.91419448392380254</v>
          </cell>
          <cell r="H127">
            <v>0.86426496999691438</v>
          </cell>
          <cell r="L127">
            <v>-9.9561999999999998E-2</v>
          </cell>
          <cell r="Q127">
            <v>5.3056999999999999</v>
          </cell>
          <cell r="R127">
            <v>0</v>
          </cell>
        </row>
        <row r="128">
          <cell r="A128" t="str">
            <v>Systems-Tunnel Handrail</v>
          </cell>
          <cell r="E128">
            <v>0.95819325844533121</v>
          </cell>
          <cell r="F128">
            <v>0.93087546260315879</v>
          </cell>
          <cell r="G128">
            <v>0.89113963047514388</v>
          </cell>
          <cell r="H128">
            <v>0.83027009236782912</v>
          </cell>
          <cell r="L128">
            <v>-9.9561999999999998E-2</v>
          </cell>
          <cell r="Q128">
            <v>3.6141000000000001</v>
          </cell>
          <cell r="R128">
            <v>114</v>
          </cell>
        </row>
        <row r="129">
          <cell r="A129" t="str">
            <v>Systems-Turnstile</v>
          </cell>
          <cell r="E129">
            <v>0.90246828843803673</v>
          </cell>
          <cell r="F129">
            <v>0.83823360714964701</v>
          </cell>
          <cell r="G129">
            <v>0.74432225538143459</v>
          </cell>
          <cell r="H129">
            <v>0.60140479612026387</v>
          </cell>
          <cell r="L129">
            <v>-0.35489999999999999</v>
          </cell>
          <cell r="Q129">
            <v>6</v>
          </cell>
          <cell r="R129">
            <v>79816</v>
          </cell>
        </row>
        <row r="130">
          <cell r="A130" t="str">
            <v>Vehicles-Non-Revenue Auto/Truck</v>
          </cell>
          <cell r="E130">
            <v>0.62342093196770099</v>
          </cell>
          <cell r="F130">
            <v>0.39688682332251579</v>
          </cell>
          <cell r="G130">
            <v>1.4069815963045761E-3</v>
          </cell>
          <cell r="H130">
            <v>0</v>
          </cell>
          <cell r="L130">
            <v>-1.4197224580000001</v>
          </cell>
          <cell r="Q130">
            <v>6</v>
          </cell>
          <cell r="R130">
            <v>25937</v>
          </cell>
        </row>
        <row r="131">
          <cell r="A131" t="str">
            <v>Vehicles-Non-Revenue Special</v>
          </cell>
          <cell r="E131">
            <v>0.87083645454212089</v>
          </cell>
          <cell r="F131">
            <v>0.78630437846346279</v>
          </cell>
          <cell r="G131">
            <v>0.66259470346146088</v>
          </cell>
          <cell r="H131">
            <v>0.47517179232472673</v>
          </cell>
          <cell r="L131">
            <v>-0.47324081899999998</v>
          </cell>
          <cell r="Q131">
            <v>6</v>
          </cell>
          <cell r="R131">
            <v>44245</v>
          </cell>
        </row>
        <row r="132">
          <cell r="A132" t="str">
            <v>Vehicles-Non-Revenue Switch Locomotive</v>
          </cell>
          <cell r="E132">
            <v>0.95090717870286978</v>
          </cell>
          <cell r="F132">
            <v>0.91784790808502259</v>
          </cell>
          <cell r="G132">
            <v>0.86978222880133904</v>
          </cell>
          <cell r="H132">
            <v>0.79636207551616134</v>
          </cell>
          <cell r="L132">
            <v>-0.17746530699999999</v>
          </cell>
          <cell r="Q132">
            <v>6</v>
          </cell>
          <cell r="R132">
            <v>2744874</v>
          </cell>
        </row>
        <row r="133">
          <cell r="A133" t="str">
            <v>User Specified</v>
          </cell>
          <cell r="E133">
            <v>0.95</v>
          </cell>
          <cell r="F133">
            <v>0.92</v>
          </cell>
          <cell r="G133">
            <v>0.9</v>
          </cell>
          <cell r="H133">
            <v>0.85</v>
          </cell>
          <cell r="L133">
            <v>-0.35</v>
          </cell>
          <cell r="Q133">
            <v>6</v>
          </cell>
          <cell r="R133">
            <v>1</v>
          </cell>
        </row>
        <row r="135">
          <cell r="A135" t="str">
            <v>Condition-Based Model States</v>
          </cell>
        </row>
        <row r="136">
          <cell r="A136" t="str">
            <v>0-Failed</v>
          </cell>
        </row>
        <row r="137">
          <cell r="A137" t="str">
            <v>1-Poor</v>
          </cell>
        </row>
        <row r="138">
          <cell r="A138" t="str">
            <v>2-Marginal</v>
          </cell>
        </row>
        <row r="139">
          <cell r="A139" t="str">
            <v>3-Adequate</v>
          </cell>
        </row>
        <row r="140">
          <cell r="A140" t="str">
            <v>4-Good</v>
          </cell>
        </row>
        <row r="141">
          <cell r="A141" t="str">
            <v>5-Excellent</v>
          </cell>
        </row>
        <row r="143">
          <cell r="A143" t="str">
            <v>Vehicle Assets</v>
          </cell>
        </row>
        <row r="144">
          <cell r="A144" t="str">
            <v>Bus</v>
          </cell>
        </row>
        <row r="145">
          <cell r="A145" t="str">
            <v>Small Bus</v>
          </cell>
        </row>
        <row r="146">
          <cell r="A146" t="str">
            <v>Van</v>
          </cell>
        </row>
        <row r="147">
          <cell r="A147" t="str">
            <v>Heavy Rail</v>
          </cell>
        </row>
        <row r="148">
          <cell r="A148" t="str">
            <v>Light Rail</v>
          </cell>
        </row>
        <row r="149">
          <cell r="A149" t="str">
            <v>Commuter Rail Locomotive</v>
          </cell>
        </row>
        <row r="150">
          <cell r="A150" t="str">
            <v>Commuter Rail Coach</v>
          </cell>
        </row>
        <row r="152">
          <cell r="A152" t="str">
            <v>Vehicle Model Defaults</v>
          </cell>
        </row>
        <row r="153">
          <cell r="A153" t="str">
            <v>Description</v>
          </cell>
          <cell r="E153" t="str">
            <v>Heavy Rail</v>
          </cell>
          <cell r="F153" t="str">
            <v>Light Rail</v>
          </cell>
          <cell r="G153" t="str">
            <v>Commuter Rail</v>
          </cell>
        </row>
        <row r="154">
          <cell r="G154" t="str">
            <v>Locomotive</v>
          </cell>
          <cell r="H154" t="str">
            <v>Coach</v>
          </cell>
        </row>
        <row r="155">
          <cell r="A155" t="str">
            <v>New Vehicle Cost ($ per vehicle)</v>
          </cell>
          <cell r="E155">
            <v>1982245.753301956</v>
          </cell>
          <cell r="F155">
            <v>3699299.6694048466</v>
          </cell>
          <cell r="G155">
            <v>8340563.149344801</v>
          </cell>
          <cell r="H155">
            <v>2345645.8480660054</v>
          </cell>
        </row>
        <row r="156">
          <cell r="A156" t="str">
            <v>Annual Miles per Vehicle</v>
          </cell>
          <cell r="E156">
            <v>57862.728062554299</v>
          </cell>
          <cell r="F156">
            <v>44486.692015209126</v>
          </cell>
          <cell r="G156">
            <v>49848.419229103507</v>
          </cell>
          <cell r="H156">
            <v>49848.419229103507</v>
          </cell>
        </row>
        <row r="157">
          <cell r="A157" t="str">
            <v>Average Accumulated Lifetime Mileage per Vehicle</v>
          </cell>
          <cell r="E157">
            <v>1168827.1068635967</v>
          </cell>
          <cell r="F157">
            <v>738479.08745247161</v>
          </cell>
          <cell r="G157">
            <v>996968.38458207017</v>
          </cell>
          <cell r="H157">
            <v>996968.38458207017</v>
          </cell>
        </row>
        <row r="158">
          <cell r="A158" t="str">
            <v>Maintenance Cost per Vehicle Mile ($)</v>
          </cell>
          <cell r="E158">
            <v>1.627927927927928</v>
          </cell>
          <cell r="F158">
            <v>3.0683760683760686</v>
          </cell>
          <cell r="G158">
            <v>9.892602923468532</v>
          </cell>
          <cell r="H158">
            <v>1.6487671539114219</v>
          </cell>
        </row>
        <row r="159">
          <cell r="A159" t="str">
            <v>Gallons per Vehicle Mile</v>
          </cell>
          <cell r="E159">
            <v>0</v>
          </cell>
          <cell r="F159">
            <v>0</v>
          </cell>
          <cell r="G159">
            <v>4</v>
          </cell>
          <cell r="H159">
            <v>0</v>
          </cell>
        </row>
        <row r="160">
          <cell r="A160" t="str">
            <v>Kilowatt Hours per Vehicle Mile</v>
          </cell>
          <cell r="E160">
            <v>5.675375375375376</v>
          </cell>
          <cell r="F160">
            <v>8.0032051282051295</v>
          </cell>
          <cell r="G160">
            <v>0</v>
          </cell>
          <cell r="H160">
            <v>0</v>
          </cell>
        </row>
        <row r="161">
          <cell r="A161" t="str">
            <v>Roadcalls/Failures per Vehicle Mile</v>
          </cell>
          <cell r="E161">
            <v>4.9100000000000001E-5</v>
          </cell>
          <cell r="F161">
            <v>9.5000000000000005E-5</v>
          </cell>
          <cell r="G161">
            <v>3.2343308865047997E-5</v>
          </cell>
          <cell r="H161">
            <v>3.2343308865047996E-6</v>
          </cell>
        </row>
        <row r="162">
          <cell r="A162" t="str">
            <v>Other Passenger Cost per Vehicle Mile ($)</v>
          </cell>
          <cell r="E162">
            <v>0</v>
          </cell>
          <cell r="F162">
            <v>0</v>
          </cell>
          <cell r="G162">
            <v>0</v>
          </cell>
          <cell r="H162">
            <v>0</v>
          </cell>
        </row>
        <row r="163">
          <cell r="A163" t="str">
            <v>Other External Cost per Vehicle Mile ($)</v>
          </cell>
          <cell r="E163">
            <v>0</v>
          </cell>
          <cell r="F163">
            <v>0</v>
          </cell>
          <cell r="G163">
            <v>0</v>
          </cell>
          <cell r="H163">
            <v>0</v>
          </cell>
        </row>
        <row r="165">
          <cell r="A165" t="str">
            <v>APTA Average New Vehicle Costs for 2010 and 2011 Vehicles by Type - used to populate table above</v>
          </cell>
        </row>
        <row r="166">
          <cell r="A166" t="str">
            <v>Bus</v>
          </cell>
        </row>
        <row r="167">
          <cell r="E167" t="str">
            <v>Coach</v>
          </cell>
        </row>
        <row r="168">
          <cell r="A168">
            <v>478462</v>
          </cell>
          <cell r="E168">
            <v>2262928</v>
          </cell>
        </row>
        <row r="170">
          <cell r="A170" t="str">
            <v>Road Calls and Failures per Mile from 2010 National Transit Database - used to populate table above</v>
          </cell>
        </row>
        <row r="171">
          <cell r="A171">
            <v>7.7826086956521736E-6</v>
          </cell>
        </row>
        <row r="172">
          <cell r="A172">
            <v>10</v>
          </cell>
        </row>
        <row r="174">
          <cell r="A174" t="str">
            <v>Consumer Price Index - used to populate table above</v>
          </cell>
        </row>
        <row r="175">
          <cell r="A175">
            <v>2010</v>
          </cell>
        </row>
        <row r="176">
          <cell r="A176">
            <v>2011</v>
          </cell>
        </row>
        <row r="177">
          <cell r="A177">
            <v>2012</v>
          </cell>
        </row>
        <row r="178">
          <cell r="A178" t="str">
            <v>Factor</v>
          </cell>
        </row>
        <row r="180">
          <cell r="A180" t="str">
            <v>Inputs for Delay Calculation</v>
          </cell>
        </row>
        <row r="181">
          <cell r="A181" t="str">
            <v>Description</v>
          </cell>
          <cell r="E181" t="str">
            <v>Heavy Rail</v>
          </cell>
          <cell r="F181" t="str">
            <v>Light Rail</v>
          </cell>
          <cell r="G181" t="str">
            <v>Commuter Rail</v>
          </cell>
        </row>
        <row r="182">
          <cell r="G182" t="str">
            <v>Loco</v>
          </cell>
          <cell r="H182" t="str">
            <v>Coach</v>
          </cell>
        </row>
        <row r="183">
          <cell r="A183" t="str">
            <v xml:space="preserve">  Passenger Miles per Revenue Vehicle Mile</v>
          </cell>
          <cell r="E183">
            <v>25.342910101946249</v>
          </cell>
          <cell r="F183">
            <v>23.619565217391305</v>
          </cell>
          <cell r="G183">
            <v>34.238035264483628</v>
          </cell>
          <cell r="H183">
            <v>34.238035264483628</v>
          </cell>
        </row>
        <row r="184">
          <cell r="A184" t="str">
            <v xml:space="preserve">  Passenger Boardings per Revenue Vehicle Hour</v>
          </cell>
          <cell r="E184">
            <v>110.9375</v>
          </cell>
          <cell r="F184">
            <v>73.709677419354833</v>
          </cell>
          <cell r="G184">
            <v>47.835051546391753</v>
          </cell>
          <cell r="H184">
            <v>47.835051546391753</v>
          </cell>
        </row>
        <row r="185">
          <cell r="A185" t="str">
            <v xml:space="preserve">  Typical Schedule Headway (minutes)</v>
          </cell>
          <cell r="E185">
            <v>30</v>
          </cell>
          <cell r="F185">
            <v>30</v>
          </cell>
          <cell r="G185">
            <v>60</v>
          </cell>
          <cell r="H185">
            <v>60</v>
          </cell>
        </row>
        <row r="186">
          <cell r="A186" t="str">
            <v xml:space="preserve">  Typical Roadcall/Failure Recovery Time (minutes)</v>
          </cell>
          <cell r="E186">
            <v>60</v>
          </cell>
          <cell r="F186">
            <v>60</v>
          </cell>
          <cell r="G186">
            <v>120</v>
          </cell>
          <cell r="H186">
            <v>120</v>
          </cell>
        </row>
        <row r="187">
          <cell r="A187" t="str">
            <v xml:space="preserve">  Vehicles per Consist</v>
          </cell>
          <cell r="E187">
            <v>6</v>
          </cell>
          <cell r="F187">
            <v>2</v>
          </cell>
          <cell r="G187">
            <v>6.4</v>
          </cell>
          <cell r="H187">
            <v>6.4</v>
          </cell>
        </row>
        <row r="189">
          <cell r="A189" t="str">
            <v>2012 APTA Factbook data for Report Year 2010 - used to populate table above</v>
          </cell>
        </row>
        <row r="190">
          <cell r="A190" t="str">
            <v>Description</v>
          </cell>
          <cell r="E190" t="str">
            <v>Light Rail</v>
          </cell>
          <cell r="F190" t="str">
            <v>Comm Rail</v>
          </cell>
        </row>
        <row r="192">
          <cell r="A192" t="str">
            <v>Unlinked Trips</v>
          </cell>
          <cell r="E192">
            <v>457</v>
          </cell>
          <cell r="F192">
            <v>464</v>
          </cell>
        </row>
        <row r="193">
          <cell r="A193" t="str">
            <v>Pass. Miles (m)</v>
          </cell>
          <cell r="E193">
            <v>2173</v>
          </cell>
          <cell r="F193">
            <v>10874</v>
          </cell>
        </row>
        <row r="194">
          <cell r="A194" t="str">
            <v>VMT (m)</v>
          </cell>
          <cell r="E194">
            <v>93.6</v>
          </cell>
          <cell r="F194">
            <v>345.3</v>
          </cell>
        </row>
        <row r="195">
          <cell r="A195" t="str">
            <v>Revenue VMT (m)</v>
          </cell>
          <cell r="E195">
            <v>92</v>
          </cell>
          <cell r="F195">
            <v>317.60000000000002</v>
          </cell>
        </row>
        <row r="196">
          <cell r="A196" t="str">
            <v>Revenue VHT (m)</v>
          </cell>
          <cell r="E196">
            <v>6.2</v>
          </cell>
          <cell r="F196">
            <v>9.6999999999999993</v>
          </cell>
        </row>
        <row r="197">
          <cell r="A197" t="str">
            <v>Vehicle Maint. (m)</v>
          </cell>
          <cell r="E197">
            <v>287.2</v>
          </cell>
          <cell r="F197">
            <v>1014.1</v>
          </cell>
        </row>
        <row r="198">
          <cell r="A198" t="str">
            <v>Vehicles</v>
          </cell>
          <cell r="E198">
            <v>2104</v>
          </cell>
          <cell r="F198">
            <v>6927</v>
          </cell>
        </row>
        <row r="199">
          <cell r="A199" t="str">
            <v>Ave. Age</v>
          </cell>
          <cell r="E199">
            <v>16.600000000000001</v>
          </cell>
          <cell r="F199">
            <v>18.2</v>
          </cell>
        </row>
        <row r="200">
          <cell r="A200" t="str">
            <v>Fossil Fuel (m)</v>
          </cell>
          <cell r="E200">
            <v>1</v>
          </cell>
          <cell r="F200">
            <v>95.3</v>
          </cell>
        </row>
        <row r="201">
          <cell r="A201" t="str">
            <v>KWH (m)</v>
          </cell>
          <cell r="E201">
            <v>749.1</v>
          </cell>
          <cell r="F201">
            <v>1797</v>
          </cell>
        </row>
        <row r="202">
          <cell r="A202">
            <v>6</v>
          </cell>
        </row>
        <row r="204">
          <cell r="A204" t="str">
            <v>Increases with Accum. Mileage (% per 100,000 miles)</v>
          </cell>
        </row>
        <row r="205">
          <cell r="A205" t="str">
            <v>Description</v>
          </cell>
          <cell r="E205" t="str">
            <v>Heavy Rail</v>
          </cell>
          <cell r="F205" t="str">
            <v>Light Rail</v>
          </cell>
          <cell r="G205" t="str">
            <v>Commuter Rail</v>
          </cell>
        </row>
        <row r="206">
          <cell r="G206" t="str">
            <v>Loco</v>
          </cell>
          <cell r="H206" t="str">
            <v>Coach</v>
          </cell>
        </row>
        <row r="207">
          <cell r="A207" t="str">
            <v xml:space="preserve">  Maintenance Cost per Vehicle Mile</v>
          </cell>
          <cell r="E207">
            <v>4.0810774192388211E-2</v>
          </cell>
          <cell r="F207">
            <v>5.1271096376024117E-2</v>
          </cell>
          <cell r="G207">
            <v>4.0810774192388211E-2</v>
          </cell>
          <cell r="H207">
            <v>4.0810774192388211E-2</v>
          </cell>
        </row>
        <row r="208">
          <cell r="A208" t="str">
            <v xml:space="preserve">  Energy Use per Vehicle Mile</v>
          </cell>
          <cell r="E208">
            <v>4.0810774192388211E-2</v>
          </cell>
          <cell r="F208">
            <v>4.0810774192388211E-2</v>
          </cell>
          <cell r="G208">
            <v>4.0810774192388211E-2</v>
          </cell>
          <cell r="H208">
            <v>4.0810774192388211E-2</v>
          </cell>
        </row>
        <row r="209">
          <cell r="A209" t="str">
            <v xml:space="preserve">  Road calls/Failures per vehicle mile</v>
          </cell>
          <cell r="E209">
            <v>7.2508181254216542E-2</v>
          </cell>
          <cell r="F209">
            <v>0.10517091807564771</v>
          </cell>
          <cell r="G209">
            <v>7.2508181254216542E-2</v>
          </cell>
          <cell r="H209">
            <v>7.2508181254216542E-2</v>
          </cell>
        </row>
        <row r="210">
          <cell r="A210" t="str">
            <v xml:space="preserve">  Other Passenger Cost per Vehicle Mile</v>
          </cell>
          <cell r="E210">
            <v>4.0810774192388211E-2</v>
          </cell>
          <cell r="F210">
            <v>4.0810774192388211E-2</v>
          </cell>
          <cell r="G210">
            <v>4.0810774192388211E-2</v>
          </cell>
          <cell r="H210">
            <v>4.0810774192388211E-2</v>
          </cell>
        </row>
        <row r="211">
          <cell r="A211" t="str">
            <v xml:space="preserve">  Other External Cost per Vehicle Mile</v>
          </cell>
          <cell r="E211">
            <v>4.0810774192388211E-2</v>
          </cell>
          <cell r="F211">
            <v>4.0810774192388211E-2</v>
          </cell>
          <cell r="G211">
            <v>4.0810774192388211E-2</v>
          </cell>
          <cell r="H211">
            <v>4.0810774192388211E-2</v>
          </cell>
        </row>
        <row r="212">
          <cell r="A212" t="str">
            <v>Energy Savings Due to New Technology for Replacement Vehicles (%)</v>
          </cell>
          <cell r="E212">
            <v>0</v>
          </cell>
          <cell r="F212">
            <v>0</v>
          </cell>
          <cell r="G212">
            <v>0</v>
          </cell>
          <cell r="H212">
            <v>0</v>
          </cell>
        </row>
        <row r="214">
          <cell r="A214" t="str">
            <v>Lifetime Mileage Coefficients from NTD (see TCRP Report 157) - used to populate table above</v>
          </cell>
        </row>
        <row r="215">
          <cell r="A215" t="str">
            <v>Description</v>
          </cell>
          <cell r="E215" t="str">
            <v>Light Rail</v>
          </cell>
          <cell r="F215" t="str">
            <v>Commuter Rail</v>
          </cell>
        </row>
        <row r="216">
          <cell r="F216" t="str">
            <v>Loco</v>
          </cell>
          <cell r="G216" t="str">
            <v>Coach</v>
          </cell>
        </row>
        <row r="217">
          <cell r="A217" t="str">
            <v xml:space="preserve">  Energy</v>
          </cell>
          <cell r="E217">
            <v>3.9999999999999998E-7</v>
          </cell>
          <cell r="F217">
            <v>3.9999999999999998E-7</v>
          </cell>
          <cell r="G217">
            <v>3.9999999999999998E-7</v>
          </cell>
        </row>
        <row r="218">
          <cell r="A218" t="str">
            <v xml:space="preserve">  Maintenance</v>
          </cell>
          <cell r="E218">
            <v>4.9999999999999998E-7</v>
          </cell>
          <cell r="F218">
            <v>3.9999999999999998E-7</v>
          </cell>
          <cell r="G218">
            <v>3.9999999999999998E-7</v>
          </cell>
        </row>
        <row r="219">
          <cell r="A219" t="str">
            <v xml:space="preserve">  Delay</v>
          </cell>
          <cell r="E219">
            <v>9.9999999999999995E-7</v>
          </cell>
          <cell r="F219">
            <v>6.9999999999999997E-7</v>
          </cell>
          <cell r="G219">
            <v>6.9999999999999997E-7</v>
          </cell>
        </row>
        <row r="221">
          <cell r="A221" t="str">
            <v>CO2 Emissions Associated with Vehicles</v>
          </cell>
        </row>
        <row r="222">
          <cell r="A222" t="str">
            <v>Description</v>
          </cell>
          <cell r="E222" t="str">
            <v>Heavy Rail</v>
          </cell>
          <cell r="F222" t="str">
            <v>Light Rail</v>
          </cell>
          <cell r="G222" t="str">
            <v>Commuter Rail</v>
          </cell>
        </row>
        <row r="223">
          <cell r="G223" t="str">
            <v>Loco</v>
          </cell>
          <cell r="H223" t="str">
            <v>Coach</v>
          </cell>
        </row>
        <row r="224">
          <cell r="A224" t="str">
            <v>Production (tons per vehicle)</v>
          </cell>
          <cell r="E224">
            <v>200</v>
          </cell>
          <cell r="F224">
            <v>160</v>
          </cell>
          <cell r="G224">
            <v>480</v>
          </cell>
          <cell r="H224">
            <v>140</v>
          </cell>
        </row>
        <row r="226">
          <cell r="A226" t="str">
            <v>Vehicle Production CO2 Emissions - used to populate table above</v>
          </cell>
        </row>
        <row r="227">
          <cell r="A227" t="str">
            <v>Vehicle Type</v>
          </cell>
        </row>
        <row r="228">
          <cell r="A228" t="str">
            <v>SUV</v>
          </cell>
        </row>
        <row r="229">
          <cell r="A229" t="str">
            <v>Bus</v>
          </cell>
        </row>
        <row r="230">
          <cell r="A230" t="str">
            <v>Heavy Rail</v>
          </cell>
        </row>
        <row r="231">
          <cell r="A231" t="str">
            <v>Light Rail</v>
          </cell>
        </row>
        <row r="232">
          <cell r="A232" t="str">
            <v>Commuter Rail Locomotive</v>
          </cell>
        </row>
        <row r="233">
          <cell r="A233" t="str">
            <v>Commuter Rail Coach</v>
          </cell>
        </row>
        <row r="234">
          <cell r="A234" t="str">
            <v>Notes: TRR 2274 (Boudart and Figliozzi)</v>
          </cell>
        </row>
        <row r="235">
          <cell r="A235" t="str">
            <v>Extrapolation</v>
          </cell>
        </row>
        <row r="237">
          <cell r="A237" t="str">
            <v>Per Vehicle Mile Rehabilitation Cost</v>
          </cell>
        </row>
        <row r="239">
          <cell r="A239" t="str">
            <v>From</v>
          </cell>
          <cell r="E239" t="str">
            <v>Van</v>
          </cell>
          <cell r="F239" t="str">
            <v>Heavy Rail</v>
          </cell>
          <cell r="G239" t="str">
            <v>Light Rail</v>
          </cell>
          <cell r="H239" t="str">
            <v>C. R. Loco.</v>
          </cell>
        </row>
        <row r="240">
          <cell r="A240">
            <v>0</v>
          </cell>
          <cell r="E240">
            <v>0</v>
          </cell>
          <cell r="F240">
            <v>0</v>
          </cell>
          <cell r="G240">
            <v>0</v>
          </cell>
          <cell r="H240">
            <v>0</v>
          </cell>
        </row>
        <row r="241">
          <cell r="A241">
            <v>35000</v>
          </cell>
          <cell r="E241">
            <v>0</v>
          </cell>
          <cell r="F241">
            <v>0</v>
          </cell>
          <cell r="G241">
            <v>0</v>
          </cell>
          <cell r="H241">
            <v>0</v>
          </cell>
        </row>
        <row r="242">
          <cell r="A242">
            <v>70000</v>
          </cell>
          <cell r="E242">
            <v>0</v>
          </cell>
          <cell r="F242">
            <v>0</v>
          </cell>
          <cell r="G242">
            <v>0</v>
          </cell>
          <cell r="H242">
            <v>0</v>
          </cell>
        </row>
        <row r="243">
          <cell r="A243">
            <v>105000</v>
          </cell>
          <cell r="E243">
            <v>0</v>
          </cell>
          <cell r="F243">
            <v>0</v>
          </cell>
          <cell r="G243">
            <v>0</v>
          </cell>
          <cell r="H243">
            <v>0</v>
          </cell>
        </row>
        <row r="244">
          <cell r="A244">
            <v>140000</v>
          </cell>
          <cell r="E244">
            <v>0</v>
          </cell>
          <cell r="F244">
            <v>0</v>
          </cell>
          <cell r="G244">
            <v>0</v>
          </cell>
          <cell r="H244">
            <v>0</v>
          </cell>
        </row>
        <row r="245">
          <cell r="A245">
            <v>175000</v>
          </cell>
          <cell r="E245">
            <v>0</v>
          </cell>
          <cell r="F245">
            <v>0</v>
          </cell>
          <cell r="G245">
            <v>0</v>
          </cell>
          <cell r="H245">
            <v>0</v>
          </cell>
        </row>
        <row r="246">
          <cell r="A246">
            <v>210000</v>
          </cell>
          <cell r="E246">
            <v>0</v>
          </cell>
          <cell r="F246">
            <v>0</v>
          </cell>
          <cell r="G246">
            <v>0</v>
          </cell>
          <cell r="H246">
            <v>0</v>
          </cell>
        </row>
        <row r="247">
          <cell r="A247">
            <v>245000</v>
          </cell>
          <cell r="E247">
            <v>0</v>
          </cell>
          <cell r="F247">
            <v>0</v>
          </cell>
          <cell r="G247">
            <v>0</v>
          </cell>
          <cell r="H247">
            <v>0</v>
          </cell>
        </row>
        <row r="248">
          <cell r="A248">
            <v>280000</v>
          </cell>
          <cell r="E248">
            <v>0</v>
          </cell>
          <cell r="F248">
            <v>0</v>
          </cell>
          <cell r="G248">
            <v>0</v>
          </cell>
          <cell r="H248">
            <v>0</v>
          </cell>
        </row>
        <row r="249">
          <cell r="A249">
            <v>315000</v>
          </cell>
          <cell r="E249">
            <v>0</v>
          </cell>
          <cell r="F249">
            <v>0</v>
          </cell>
          <cell r="G249">
            <v>0</v>
          </cell>
          <cell r="H249">
            <v>0</v>
          </cell>
        </row>
        <row r="250">
          <cell r="A250">
            <v>350000</v>
          </cell>
          <cell r="E250">
            <v>0</v>
          </cell>
          <cell r="F250">
            <v>0</v>
          </cell>
          <cell r="G250">
            <v>0</v>
          </cell>
          <cell r="H250">
            <v>0</v>
          </cell>
        </row>
        <row r="251">
          <cell r="A251">
            <v>385000</v>
          </cell>
          <cell r="E251">
            <v>0</v>
          </cell>
          <cell r="F251">
            <v>0</v>
          </cell>
          <cell r="G251">
            <v>0</v>
          </cell>
          <cell r="H251">
            <v>0</v>
          </cell>
        </row>
        <row r="252">
          <cell r="A252">
            <v>420000</v>
          </cell>
          <cell r="E252">
            <v>0</v>
          </cell>
          <cell r="F252">
            <v>0</v>
          </cell>
          <cell r="G252">
            <v>0</v>
          </cell>
          <cell r="H252">
            <v>0</v>
          </cell>
        </row>
        <row r="253">
          <cell r="A253">
            <v>455000</v>
          </cell>
          <cell r="E253">
            <v>0</v>
          </cell>
          <cell r="F253">
            <v>0</v>
          </cell>
          <cell r="G253">
            <v>0</v>
          </cell>
          <cell r="H253">
            <v>0</v>
          </cell>
        </row>
        <row r="254">
          <cell r="A254">
            <v>490000</v>
          </cell>
          <cell r="E254">
            <v>0</v>
          </cell>
          <cell r="F254">
            <v>0</v>
          </cell>
          <cell r="G254">
            <v>0</v>
          </cell>
          <cell r="H254">
            <v>0</v>
          </cell>
        </row>
        <row r="255">
          <cell r="A255">
            <v>525000</v>
          </cell>
          <cell r="E255">
            <v>0</v>
          </cell>
          <cell r="F255">
            <v>0</v>
          </cell>
          <cell r="G255">
            <v>0</v>
          </cell>
          <cell r="H255">
            <v>0</v>
          </cell>
        </row>
        <row r="256">
          <cell r="A256">
            <v>560000</v>
          </cell>
          <cell r="E256">
            <v>0</v>
          </cell>
          <cell r="F256">
            <v>0</v>
          </cell>
          <cell r="G256">
            <v>0</v>
          </cell>
          <cell r="H256">
            <v>0</v>
          </cell>
        </row>
        <row r="257">
          <cell r="A257">
            <v>595000</v>
          </cell>
          <cell r="E257">
            <v>0</v>
          </cell>
          <cell r="F257">
            <v>0</v>
          </cell>
          <cell r="G257">
            <v>0</v>
          </cell>
          <cell r="H257">
            <v>0</v>
          </cell>
        </row>
        <row r="258">
          <cell r="A258">
            <v>630000</v>
          </cell>
          <cell r="E258">
            <v>0</v>
          </cell>
          <cell r="F258">
            <v>0</v>
          </cell>
          <cell r="G258">
            <v>0</v>
          </cell>
          <cell r="H258">
            <v>0</v>
          </cell>
        </row>
        <row r="259">
          <cell r="A259">
            <v>665000</v>
          </cell>
          <cell r="E259">
            <v>0</v>
          </cell>
          <cell r="F259">
            <v>0</v>
          </cell>
          <cell r="G259">
            <v>0</v>
          </cell>
          <cell r="H259">
            <v>0</v>
          </cell>
        </row>
        <row r="260">
          <cell r="A260">
            <v>700000</v>
          </cell>
          <cell r="E260">
            <v>0</v>
          </cell>
          <cell r="F260">
            <v>0</v>
          </cell>
          <cell r="G260">
            <v>0</v>
          </cell>
          <cell r="H260">
            <v>0</v>
          </cell>
        </row>
        <row r="261">
          <cell r="A261">
            <v>735000</v>
          </cell>
          <cell r="E261">
            <v>0</v>
          </cell>
          <cell r="F261">
            <v>0</v>
          </cell>
          <cell r="G261">
            <v>0</v>
          </cell>
          <cell r="H261">
            <v>0</v>
          </cell>
        </row>
        <row r="262">
          <cell r="A262">
            <v>770000</v>
          </cell>
          <cell r="E262">
            <v>0</v>
          </cell>
          <cell r="F262">
            <v>0</v>
          </cell>
          <cell r="G262">
            <v>0</v>
          </cell>
          <cell r="H262">
            <v>0</v>
          </cell>
        </row>
        <row r="263">
          <cell r="A263">
            <v>805000</v>
          </cell>
          <cell r="E263">
            <v>0</v>
          </cell>
          <cell r="F263">
            <v>0</v>
          </cell>
          <cell r="G263">
            <v>0</v>
          </cell>
          <cell r="H263">
            <v>0</v>
          </cell>
        </row>
        <row r="264">
          <cell r="A264">
            <v>840000</v>
          </cell>
          <cell r="E264">
            <v>0</v>
          </cell>
          <cell r="F264">
            <v>0</v>
          </cell>
          <cell r="G264">
            <v>0</v>
          </cell>
          <cell r="H264">
            <v>0</v>
          </cell>
        </row>
        <row r="265">
          <cell r="A265">
            <v>875000</v>
          </cell>
          <cell r="E265">
            <v>0</v>
          </cell>
          <cell r="F265">
            <v>0</v>
          </cell>
          <cell r="G265">
            <v>0</v>
          </cell>
          <cell r="H265">
            <v>0</v>
          </cell>
        </row>
        <row r="266">
          <cell r="A266">
            <v>910000</v>
          </cell>
          <cell r="E266">
            <v>0</v>
          </cell>
          <cell r="F266">
            <v>0</v>
          </cell>
          <cell r="G266">
            <v>0</v>
          </cell>
          <cell r="H266">
            <v>0</v>
          </cell>
        </row>
        <row r="267">
          <cell r="A267">
            <v>945000</v>
          </cell>
          <cell r="E267">
            <v>0</v>
          </cell>
          <cell r="F267">
            <v>0</v>
          </cell>
          <cell r="G267">
            <v>0</v>
          </cell>
          <cell r="H267">
            <v>0</v>
          </cell>
        </row>
        <row r="268">
          <cell r="A268">
            <v>980000</v>
          </cell>
          <cell r="E268">
            <v>0</v>
          </cell>
          <cell r="F268">
            <v>0</v>
          </cell>
          <cell r="G268">
            <v>0</v>
          </cell>
          <cell r="H268">
            <v>0</v>
          </cell>
        </row>
        <row r="269">
          <cell r="A269">
            <v>1015000</v>
          </cell>
          <cell r="E269">
            <v>0</v>
          </cell>
          <cell r="F269">
            <v>0</v>
          </cell>
          <cell r="G269">
            <v>0</v>
          </cell>
          <cell r="H269">
            <v>0</v>
          </cell>
        </row>
        <row r="271">
          <cell r="A271" t="str">
            <v>Periodic Rehabilitation Costs</v>
          </cell>
        </row>
        <row r="272">
          <cell r="A272" t="str">
            <v>Description</v>
          </cell>
          <cell r="E272" t="str">
            <v>Heavy Rail</v>
          </cell>
          <cell r="F272" t="str">
            <v>Light Rail</v>
          </cell>
          <cell r="G272" t="str">
            <v>Commuter Rail</v>
          </cell>
        </row>
        <row r="273">
          <cell r="G273" t="str">
            <v>Loco</v>
          </cell>
          <cell r="H273" t="str">
            <v>Coach</v>
          </cell>
        </row>
        <row r="274">
          <cell r="A274" t="str">
            <v xml:space="preserve">  Percent of Vehicle Replacment Cost</v>
          </cell>
          <cell r="E274">
            <v>0.5</v>
          </cell>
          <cell r="F274">
            <v>0.5</v>
          </cell>
          <cell r="G274">
            <v>0.5</v>
          </cell>
          <cell r="H274">
            <v>0.5</v>
          </cell>
        </row>
        <row r="275">
          <cell r="A275" t="str">
            <v xml:space="preserve">  Rehab Interval (miles)</v>
          </cell>
          <cell r="E275">
            <v>350000</v>
          </cell>
          <cell r="F275">
            <v>350000</v>
          </cell>
          <cell r="G275">
            <v>350000</v>
          </cell>
          <cell r="H275">
            <v>350000</v>
          </cell>
        </row>
      </sheetData>
      <sheetData sheetId="16"/>
      <sheetData sheetId="17">
        <row r="1">
          <cell r="B1" t="str">
            <v>Asset Type Code</v>
          </cell>
          <cell r="C1" t="str">
            <v>Replacement Asset Type Code</v>
          </cell>
          <cell r="D1" t="str">
            <v>Replacement Impacts (delay in hours, CO2 in tons, others in dollars)</v>
          </cell>
          <cell r="I1" t="str">
            <v>Weibull Parameters and Impacts (delay in hours, CO2 in tons, others in dollars)</v>
          </cell>
          <cell r="P1" t="str">
            <v>Exponential Coefficients</v>
          </cell>
          <cell r="X1" t="str">
            <v>Net Present Value of Asset Replacement  by Age</v>
          </cell>
          <cell r="EN1" t="str">
            <v>Maintenance and Other Non-Capital Agency Costs by Age</v>
          </cell>
          <cell r="JD1" t="str">
            <v>PI Increment</v>
          </cell>
          <cell r="JE1" t="str">
            <v>TERM Condition Coefficients</v>
          </cell>
          <cell r="JG1" t="str">
            <v>MDBF Coefficents</v>
          </cell>
          <cell r="JI1" t="str">
            <v>Model Type</v>
          </cell>
          <cell r="JJ1" t="str">
            <v>Energy Cost Coefficients</v>
          </cell>
        </row>
        <row r="2">
          <cell r="P2" t="str">
            <v>Delay (hours)</v>
          </cell>
          <cell r="R2" t="str">
            <v>Other Pass. Cost</v>
          </cell>
          <cell r="T2" t="str">
            <v>CO2 (tons)</v>
          </cell>
          <cell r="V2" t="str">
            <v>Other External Cost</v>
          </cell>
          <cell r="JJ2" t="str">
            <v>Energy Cost Coefficients</v>
          </cell>
        </row>
        <row r="3">
          <cell r="D3" t="str">
            <v>Agency</v>
          </cell>
          <cell r="E3" t="str">
            <v>Delay</v>
          </cell>
          <cell r="F3" t="str">
            <v>OthPax</v>
          </cell>
          <cell r="G3" t="str">
            <v>CO2</v>
          </cell>
          <cell r="H3" t="str">
            <v>OthExt</v>
          </cell>
          <cell r="I3" t="str">
            <v>Shape</v>
          </cell>
          <cell r="J3" t="str">
            <v>Scale</v>
          </cell>
          <cell r="L3" t="str">
            <v>Delay</v>
          </cell>
          <cell r="M3" t="str">
            <v>OthPax</v>
          </cell>
          <cell r="N3" t="str">
            <v>CO2</v>
          </cell>
          <cell r="O3" t="str">
            <v>OthExt</v>
          </cell>
          <cell r="P3" t="str">
            <v>D0</v>
          </cell>
          <cell r="Q3" t="str">
            <v>D1</v>
          </cell>
          <cell r="R3" t="str">
            <v>P0</v>
          </cell>
          <cell r="S3" t="str">
            <v>P1</v>
          </cell>
          <cell r="T3" t="str">
            <v>C0</v>
          </cell>
          <cell r="U3" t="str">
            <v>C1</v>
          </cell>
          <cell r="V3" t="str">
            <v>X0</v>
          </cell>
          <cell r="W3" t="str">
            <v>X1</v>
          </cell>
          <cell r="X3">
            <v>1</v>
          </cell>
          <cell r="Y3">
            <v>2</v>
          </cell>
          <cell r="Z3">
            <v>3</v>
          </cell>
          <cell r="AA3">
            <v>4</v>
          </cell>
          <cell r="AB3">
            <v>5</v>
          </cell>
          <cell r="AC3">
            <v>6</v>
          </cell>
          <cell r="AD3">
            <v>7</v>
          </cell>
          <cell r="AE3">
            <v>8</v>
          </cell>
          <cell r="AF3">
            <v>9</v>
          </cell>
          <cell r="AG3">
            <v>10</v>
          </cell>
          <cell r="AH3">
            <v>11</v>
          </cell>
          <cell r="AI3">
            <v>12</v>
          </cell>
          <cell r="AJ3">
            <v>13</v>
          </cell>
          <cell r="AK3">
            <v>14</v>
          </cell>
          <cell r="AL3">
            <v>15</v>
          </cell>
          <cell r="AM3">
            <v>16</v>
          </cell>
          <cell r="AN3">
            <v>17</v>
          </cell>
          <cell r="AO3">
            <v>18</v>
          </cell>
          <cell r="AP3">
            <v>19</v>
          </cell>
          <cell r="AQ3">
            <v>20</v>
          </cell>
          <cell r="AR3">
            <v>21</v>
          </cell>
          <cell r="AS3">
            <v>22</v>
          </cell>
          <cell r="AT3">
            <v>23</v>
          </cell>
          <cell r="AU3">
            <v>24</v>
          </cell>
          <cell r="AV3">
            <v>25</v>
          </cell>
          <cell r="AW3">
            <v>26</v>
          </cell>
          <cell r="AX3">
            <v>27</v>
          </cell>
          <cell r="AY3">
            <v>28</v>
          </cell>
          <cell r="AZ3">
            <v>29</v>
          </cell>
          <cell r="BA3">
            <v>30</v>
          </cell>
          <cell r="BB3">
            <v>31</v>
          </cell>
          <cell r="BC3">
            <v>32</v>
          </cell>
          <cell r="BD3">
            <v>33</v>
          </cell>
          <cell r="BE3">
            <v>34</v>
          </cell>
          <cell r="BF3">
            <v>35</v>
          </cell>
          <cell r="BG3">
            <v>36</v>
          </cell>
          <cell r="BH3">
            <v>37</v>
          </cell>
          <cell r="BI3">
            <v>38</v>
          </cell>
          <cell r="BJ3">
            <v>39</v>
          </cell>
          <cell r="BK3">
            <v>40</v>
          </cell>
          <cell r="BL3">
            <v>41</v>
          </cell>
          <cell r="BM3">
            <v>42</v>
          </cell>
          <cell r="BN3">
            <v>43</v>
          </cell>
          <cell r="BO3">
            <v>44</v>
          </cell>
          <cell r="BP3">
            <v>45</v>
          </cell>
          <cell r="BQ3">
            <v>46</v>
          </cell>
          <cell r="BR3">
            <v>47</v>
          </cell>
          <cell r="BS3">
            <v>48</v>
          </cell>
          <cell r="BT3">
            <v>49</v>
          </cell>
          <cell r="BU3">
            <v>50</v>
          </cell>
          <cell r="BV3">
            <v>51</v>
          </cell>
          <cell r="BW3">
            <v>52</v>
          </cell>
          <cell r="BX3">
            <v>53</v>
          </cell>
          <cell r="BY3">
            <v>54</v>
          </cell>
          <cell r="BZ3">
            <v>55</v>
          </cell>
          <cell r="CA3">
            <v>56</v>
          </cell>
          <cell r="CB3">
            <v>57</v>
          </cell>
          <cell r="CC3">
            <v>58</v>
          </cell>
          <cell r="CD3">
            <v>59</v>
          </cell>
          <cell r="CE3">
            <v>60</v>
          </cell>
          <cell r="CF3">
            <v>61</v>
          </cell>
          <cell r="CG3">
            <v>62</v>
          </cell>
          <cell r="CH3">
            <v>63</v>
          </cell>
          <cell r="CI3">
            <v>64</v>
          </cell>
          <cell r="CJ3">
            <v>65</v>
          </cell>
          <cell r="CK3">
            <v>66</v>
          </cell>
          <cell r="CL3">
            <v>67</v>
          </cell>
          <cell r="CM3">
            <v>68</v>
          </cell>
          <cell r="CN3">
            <v>69</v>
          </cell>
          <cell r="CO3">
            <v>70</v>
          </cell>
          <cell r="CP3">
            <v>71</v>
          </cell>
          <cell r="CQ3">
            <v>72</v>
          </cell>
          <cell r="CR3">
            <v>73</v>
          </cell>
          <cell r="CS3">
            <v>74</v>
          </cell>
          <cell r="CT3">
            <v>75</v>
          </cell>
          <cell r="CU3">
            <v>76</v>
          </cell>
          <cell r="CV3">
            <v>77</v>
          </cell>
          <cell r="CW3">
            <v>78</v>
          </cell>
          <cell r="CX3">
            <v>79</v>
          </cell>
          <cell r="CY3">
            <v>80</v>
          </cell>
          <cell r="CZ3">
            <v>81</v>
          </cell>
          <cell r="DA3">
            <v>82</v>
          </cell>
          <cell r="DB3">
            <v>83</v>
          </cell>
          <cell r="DC3">
            <v>84</v>
          </cell>
          <cell r="DD3">
            <v>85</v>
          </cell>
          <cell r="DE3">
            <v>86</v>
          </cell>
          <cell r="DF3">
            <v>87</v>
          </cell>
          <cell r="DG3">
            <v>88</v>
          </cell>
          <cell r="DH3">
            <v>89</v>
          </cell>
          <cell r="DI3">
            <v>90</v>
          </cell>
          <cell r="DJ3">
            <v>91</v>
          </cell>
          <cell r="DK3">
            <v>92</v>
          </cell>
          <cell r="DL3">
            <v>93</v>
          </cell>
          <cell r="DM3">
            <v>94</v>
          </cell>
          <cell r="DN3">
            <v>95</v>
          </cell>
          <cell r="DO3">
            <v>96</v>
          </cell>
          <cell r="DP3">
            <v>97</v>
          </cell>
          <cell r="DQ3">
            <v>98</v>
          </cell>
          <cell r="DR3">
            <v>99</v>
          </cell>
          <cell r="DS3">
            <v>100</v>
          </cell>
          <cell r="DT3">
            <v>101</v>
          </cell>
          <cell r="DU3">
            <v>102</v>
          </cell>
          <cell r="DV3">
            <v>103</v>
          </cell>
          <cell r="DW3">
            <v>104</v>
          </cell>
          <cell r="DX3">
            <v>105</v>
          </cell>
          <cell r="DY3">
            <v>106</v>
          </cell>
          <cell r="DZ3">
            <v>107</v>
          </cell>
          <cell r="EA3">
            <v>108</v>
          </cell>
          <cell r="EB3">
            <v>109</v>
          </cell>
          <cell r="EC3">
            <v>110</v>
          </cell>
          <cell r="ED3">
            <v>111</v>
          </cell>
          <cell r="EE3">
            <v>112</v>
          </cell>
          <cell r="EF3">
            <v>113</v>
          </cell>
          <cell r="EG3">
            <v>114</v>
          </cell>
          <cell r="EH3">
            <v>115</v>
          </cell>
          <cell r="EI3">
            <v>116</v>
          </cell>
          <cell r="EJ3">
            <v>117</v>
          </cell>
          <cell r="EK3">
            <v>118</v>
          </cell>
          <cell r="EL3">
            <v>119</v>
          </cell>
          <cell r="EM3">
            <v>120</v>
          </cell>
          <cell r="EN3">
            <v>1</v>
          </cell>
          <cell r="EO3">
            <v>2</v>
          </cell>
          <cell r="EP3">
            <v>3</v>
          </cell>
          <cell r="EQ3">
            <v>4</v>
          </cell>
          <cell r="ER3">
            <v>5</v>
          </cell>
          <cell r="ES3">
            <v>6</v>
          </cell>
          <cell r="ET3">
            <v>7</v>
          </cell>
          <cell r="EU3">
            <v>8</v>
          </cell>
          <cell r="EV3">
            <v>9</v>
          </cell>
          <cell r="EW3">
            <v>10</v>
          </cell>
          <cell r="EX3">
            <v>11</v>
          </cell>
          <cell r="EY3">
            <v>12</v>
          </cell>
          <cell r="EZ3">
            <v>13</v>
          </cell>
          <cell r="FA3">
            <v>14</v>
          </cell>
          <cell r="FB3">
            <v>15</v>
          </cell>
          <cell r="FC3">
            <v>16</v>
          </cell>
          <cell r="FD3">
            <v>17</v>
          </cell>
          <cell r="FE3">
            <v>18</v>
          </cell>
          <cell r="FF3">
            <v>19</v>
          </cell>
          <cell r="FG3">
            <v>20</v>
          </cell>
          <cell r="FH3">
            <v>21</v>
          </cell>
          <cell r="FI3">
            <v>22</v>
          </cell>
          <cell r="FJ3">
            <v>23</v>
          </cell>
          <cell r="FK3">
            <v>24</v>
          </cell>
          <cell r="FL3">
            <v>25</v>
          </cell>
          <cell r="FM3">
            <v>26</v>
          </cell>
          <cell r="FN3">
            <v>27</v>
          </cell>
          <cell r="FO3">
            <v>28</v>
          </cell>
          <cell r="FP3">
            <v>29</v>
          </cell>
          <cell r="FQ3">
            <v>30</v>
          </cell>
          <cell r="FR3">
            <v>31</v>
          </cell>
          <cell r="FS3">
            <v>32</v>
          </cell>
          <cell r="FT3">
            <v>33</v>
          </cell>
          <cell r="FU3">
            <v>34</v>
          </cell>
          <cell r="FV3">
            <v>35</v>
          </cell>
          <cell r="FW3">
            <v>36</v>
          </cell>
          <cell r="FX3">
            <v>37</v>
          </cell>
          <cell r="FY3">
            <v>38</v>
          </cell>
          <cell r="FZ3">
            <v>39</v>
          </cell>
          <cell r="GA3">
            <v>40</v>
          </cell>
          <cell r="GB3">
            <v>41</v>
          </cell>
          <cell r="GC3">
            <v>42</v>
          </cell>
          <cell r="GD3">
            <v>43</v>
          </cell>
          <cell r="GE3">
            <v>44</v>
          </cell>
          <cell r="GF3">
            <v>45</v>
          </cell>
          <cell r="GG3">
            <v>46</v>
          </cell>
          <cell r="GH3">
            <v>47</v>
          </cell>
          <cell r="GI3">
            <v>48</v>
          </cell>
          <cell r="GJ3">
            <v>49</v>
          </cell>
          <cell r="GK3">
            <v>50</v>
          </cell>
          <cell r="GL3">
            <v>51</v>
          </cell>
          <cell r="GM3">
            <v>52</v>
          </cell>
          <cell r="GN3">
            <v>53</v>
          </cell>
          <cell r="GO3">
            <v>54</v>
          </cell>
          <cell r="GP3">
            <v>55</v>
          </cell>
          <cell r="GQ3">
            <v>56</v>
          </cell>
          <cell r="GR3">
            <v>57</v>
          </cell>
          <cell r="GS3">
            <v>58</v>
          </cell>
          <cell r="GT3">
            <v>59</v>
          </cell>
          <cell r="GU3">
            <v>60</v>
          </cell>
          <cell r="GV3">
            <v>61</v>
          </cell>
          <cell r="GW3">
            <v>62</v>
          </cell>
          <cell r="GX3">
            <v>63</v>
          </cell>
          <cell r="GY3">
            <v>64</v>
          </cell>
          <cell r="GZ3">
            <v>65</v>
          </cell>
          <cell r="HA3">
            <v>66</v>
          </cell>
          <cell r="HB3">
            <v>67</v>
          </cell>
          <cell r="HC3">
            <v>68</v>
          </cell>
          <cell r="HD3">
            <v>69</v>
          </cell>
          <cell r="HE3">
            <v>70</v>
          </cell>
          <cell r="HF3">
            <v>71</v>
          </cell>
          <cell r="HG3">
            <v>72</v>
          </cell>
          <cell r="HH3">
            <v>73</v>
          </cell>
          <cell r="HI3">
            <v>74</v>
          </cell>
          <cell r="HJ3">
            <v>75</v>
          </cell>
          <cell r="HK3">
            <v>76</v>
          </cell>
          <cell r="HL3">
            <v>77</v>
          </cell>
          <cell r="HM3">
            <v>78</v>
          </cell>
          <cell r="HN3">
            <v>79</v>
          </cell>
          <cell r="HO3">
            <v>80</v>
          </cell>
          <cell r="HP3">
            <v>81</v>
          </cell>
          <cell r="HQ3">
            <v>82</v>
          </cell>
          <cell r="HR3">
            <v>83</v>
          </cell>
          <cell r="HS3">
            <v>84</v>
          </cell>
          <cell r="HT3">
            <v>85</v>
          </cell>
          <cell r="HU3">
            <v>86</v>
          </cell>
          <cell r="HV3">
            <v>87</v>
          </cell>
          <cell r="HW3">
            <v>88</v>
          </cell>
          <cell r="HX3">
            <v>89</v>
          </cell>
          <cell r="HY3">
            <v>90</v>
          </cell>
          <cell r="HZ3">
            <v>91</v>
          </cell>
          <cell r="IA3">
            <v>92</v>
          </cell>
          <cell r="IB3">
            <v>93</v>
          </cell>
          <cell r="IC3">
            <v>94</v>
          </cell>
          <cell r="ID3">
            <v>95</v>
          </cell>
          <cell r="IE3">
            <v>96</v>
          </cell>
          <cell r="IF3">
            <v>97</v>
          </cell>
          <cell r="IG3">
            <v>98</v>
          </cell>
          <cell r="IH3">
            <v>99</v>
          </cell>
          <cell r="II3">
            <v>100</v>
          </cell>
          <cell r="IJ3">
            <v>101</v>
          </cell>
          <cell r="IK3">
            <v>102</v>
          </cell>
          <cell r="IL3">
            <v>103</v>
          </cell>
          <cell r="IM3">
            <v>104</v>
          </cell>
          <cell r="IN3">
            <v>105</v>
          </cell>
          <cell r="IO3">
            <v>106</v>
          </cell>
          <cell r="IP3">
            <v>107</v>
          </cell>
          <cell r="IQ3">
            <v>108</v>
          </cell>
          <cell r="IR3">
            <v>109</v>
          </cell>
          <cell r="IS3">
            <v>110</v>
          </cell>
          <cell r="IT3">
            <v>111</v>
          </cell>
          <cell r="IU3">
            <v>112</v>
          </cell>
          <cell r="IV3">
            <v>113</v>
          </cell>
          <cell r="IW3">
            <v>114</v>
          </cell>
          <cell r="IX3">
            <v>115</v>
          </cell>
          <cell r="IY3">
            <v>116</v>
          </cell>
          <cell r="IZ3">
            <v>117</v>
          </cell>
          <cell r="JA3">
            <v>118</v>
          </cell>
          <cell r="JB3">
            <v>119</v>
          </cell>
          <cell r="JC3">
            <v>120</v>
          </cell>
          <cell r="JE3" t="str">
            <v>TERM0</v>
          </cell>
          <cell r="JF3" t="str">
            <v>TERM1</v>
          </cell>
          <cell r="JG3" t="str">
            <v>FailPerDH</v>
          </cell>
          <cell r="JH3" t="str">
            <v>AnnMiles</v>
          </cell>
          <cell r="JJ3" t="str">
            <v>E0</v>
          </cell>
          <cell r="JK3" t="str">
            <v>E1</v>
          </cell>
        </row>
        <row r="4">
          <cell r="B4" t="str">
            <v>Ferry_Current</v>
          </cell>
          <cell r="C4" t="str">
            <v>Ferry_Replaced</v>
          </cell>
          <cell r="D4">
            <v>5700000</v>
          </cell>
          <cell r="E4">
            <v>0</v>
          </cell>
          <cell r="F4">
            <v>0</v>
          </cell>
          <cell r="G4">
            <v>0</v>
          </cell>
          <cell r="H4">
            <v>0</v>
          </cell>
          <cell r="I4">
            <v>3</v>
          </cell>
          <cell r="J4">
            <v>15</v>
          </cell>
          <cell r="L4">
            <v>0</v>
          </cell>
          <cell r="M4">
            <v>0</v>
          </cell>
          <cell r="N4">
            <v>0</v>
          </cell>
          <cell r="O4">
            <v>0</v>
          </cell>
          <cell r="P4">
            <v>356.40551227191207</v>
          </cell>
          <cell r="Q4">
            <v>9.8756914409999993E-2</v>
          </cell>
          <cell r="R4">
            <v>0</v>
          </cell>
          <cell r="S4">
            <v>3.1273022896500004E-2</v>
          </cell>
          <cell r="T4">
            <v>1669.5052078454573</v>
          </cell>
          <cell r="U4">
            <v>3.1273022896500004E-2</v>
          </cell>
          <cell r="V4">
            <v>0</v>
          </cell>
          <cell r="W4">
            <v>3.1273022896500004E-2</v>
          </cell>
          <cell r="X4">
            <v>-633642.1132091477</v>
          </cell>
          <cell r="Y4">
            <v>-610840.65145344334</v>
          </cell>
          <cell r="Z4">
            <v>-587022.68735710136</v>
          </cell>
          <cell r="AA4">
            <v>-562130.48640418029</v>
          </cell>
          <cell r="AB4">
            <v>-536102.15579265507</v>
          </cell>
          <cell r="AC4">
            <v>-508871.29163083714</v>
          </cell>
          <cell r="AD4">
            <v>-480366.59334979788</v>
          </cell>
          <cell r="AE4">
            <v>-450511.44213718036</v>
          </cell>
          <cell r="AF4">
            <v>-419223.43987840938</v>
          </cell>
          <cell r="AG4">
            <v>-386413.90473953832</v>
          </cell>
          <cell r="AH4">
            <v>-351987.31913849595</v>
          </cell>
          <cell r="AI4">
            <v>-315840.7254246315</v>
          </cell>
          <cell r="AJ4">
            <v>-277863.06411620486</v>
          </cell>
          <cell r="AK4">
            <v>-237934.44902736368</v>
          </cell>
          <cell r="AL4">
            <v>-195925.37304527499</v>
          </cell>
          <cell r="AM4">
            <v>-151695.83768905886</v>
          </cell>
          <cell r="AN4">
            <v>-105094.39888898795</v>
          </cell>
          <cell r="AO4">
            <v>-55957.120660536224</v>
          </cell>
          <cell r="AP4">
            <v>-4106.4275059802458</v>
          </cell>
          <cell r="AQ4">
            <v>50650.154551613843</v>
          </cell>
          <cell r="AR4">
            <v>108521.37941988441</v>
          </cell>
          <cell r="AS4">
            <v>169733.79711930617</v>
          </cell>
          <cell r="AT4">
            <v>234533.41818373674</v>
          </cell>
          <cell r="AU4">
            <v>303187.54113697959</v>
          </cell>
          <cell r="AV4">
            <v>375986.75941309426</v>
          </cell>
          <cell r="AW4">
            <v>453247.16575302579</v>
          </cell>
          <cell r="AX4">
            <v>535312.77394565591</v>
          </cell>
          <cell r="AY4">
            <v>622558.17980514863</v>
          </cell>
          <cell r="AZ4">
            <v>715391.48550785962</v>
          </cell>
          <cell r="BA4">
            <v>814257.51387253636</v>
          </cell>
          <cell r="BB4">
            <v>919641.34188061929</v>
          </cell>
          <cell r="BC4">
            <v>1032072.1857252426</v>
          </cell>
          <cell r="BD4">
            <v>1152127.6729767651</v>
          </cell>
          <cell r="BE4">
            <v>1280438.5410910135</v>
          </cell>
          <cell r="BF4">
            <v>1417693.8054989658</v>
          </cell>
          <cell r="BG4">
            <v>1564646.4449418325</v>
          </cell>
          <cell r="BH4">
            <v>1722119.6565961309</v>
          </cell>
          <cell r="BI4">
            <v>1891013.7389163293</v>
          </cell>
          <cell r="BJ4">
            <v>2072313.6660598333</v>
          </cell>
          <cell r="BK4">
            <v>2267097.424307812</v>
          </cell>
          <cell r="BL4">
            <v>2476545.1881186524</v>
          </cell>
          <cell r="BM4">
            <v>2701949.4214185197</v>
          </cell>
          <cell r="BN4">
            <v>2944725.9985224148</v>
          </cell>
          <cell r="BO4">
            <v>3206426.4487741357</v>
          </cell>
          <cell r="BP4">
            <v>3488751.4396883678</v>
          </cell>
          <cell r="BQ4">
            <v>3793565.6251760777</v>
          </cell>
          <cell r="BR4">
            <v>4122913.9984495183</v>
          </cell>
          <cell r="BS4">
            <v>4479039.9035613043</v>
          </cell>
          <cell r="BT4">
            <v>4864404.8753722161</v>
          </cell>
          <cell r="BU4">
            <v>5281710.4952176763</v>
          </cell>
          <cell r="BV4">
            <v>5733922.4688226674</v>
          </cell>
          <cell r="BW4">
            <v>6224297.1542857029</v>
          </cell>
          <cell r="BX4">
            <v>6756410.7914202791</v>
          </cell>
          <cell r="BY4">
            <v>7334191.7096347623</v>
          </cell>
          <cell r="BZ4">
            <v>7961955.8200992942</v>
          </cell>
          <cell r="CA4">
            <v>8644445.729468314</v>
          </cell>
          <cell r="CB4">
            <v>9386873.847205231</v>
          </cell>
          <cell r="CC4">
            <v>10194969.896928778</v>
          </cell>
          <cell r="CD4">
            <v>11075033.28454094</v>
          </cell>
          <cell r="CE4">
            <v>12033990.822614947</v>
          </cell>
          <cell r="CF4">
            <v>13079460.362071866</v>
          </cell>
          <cell r="CG4">
            <v>14219820.9390563</v>
          </cell>
          <cell r="CH4">
            <v>15464290.107687686</v>
          </cell>
          <cell r="CI4">
            <v>16823009.198623396</v>
          </cell>
          <cell r="CJ4">
            <v>18307137.319795553</v>
          </cell>
          <cell r="CK4">
            <v>19928955.00001787</v>
          </cell>
          <cell r="CL4">
            <v>21701978.469221052</v>
          </cell>
          <cell r="CM4">
            <v>23641085.671769667</v>
          </cell>
          <cell r="CN4">
            <v>25762655.222637925</v>
          </cell>
          <cell r="CO4">
            <v>28084719.641278081</v>
          </cell>
          <cell r="CP4">
            <v>30627134.336018685</v>
          </cell>
          <cell r="CQ4">
            <v>33411763.964122564</v>
          </cell>
          <cell r="CR4">
            <v>36462687.96069745</v>
          </cell>
          <cell r="CS4">
            <v>39806427.215119012</v>
          </cell>
          <cell r="CT4">
            <v>43472194.078302078</v>
          </cell>
          <cell r="CU4">
            <v>47492168.110030964</v>
          </cell>
          <cell r="CV4">
            <v>51901800.224832043</v>
          </cell>
          <cell r="CW4">
            <v>56740148.169966549</v>
          </cell>
          <cell r="CX4">
            <v>62050246.572715476</v>
          </cell>
          <cell r="CY4">
            <v>67879515.129177377</v>
          </cell>
          <cell r="CZ4">
            <v>74280208.876562431</v>
          </cell>
          <cell r="DA4">
            <v>81309914.899045691</v>
          </cell>
          <cell r="DB4">
            <v>89032100.267605394</v>
          </cell>
          <cell r="DC4">
            <v>97516716.511312768</v>
          </cell>
          <cell r="DD4">
            <v>106840866.46608549</v>
          </cell>
          <cell r="DE4">
            <v>117089539.95232199</v>
          </cell>
          <cell r="DF4">
            <v>128356425.40098271</v>
          </cell>
          <cell r="DG4">
            <v>140744805.28509456</v>
          </cell>
          <cell r="DH4">
            <v>154368544.02749908</v>
          </cell>
          <cell r="DI4">
            <v>169353177.95387965</v>
          </cell>
          <cell r="DJ4">
            <v>185837117.85143089</v>
          </cell>
          <cell r="DK4">
            <v>203972975.78763849</v>
          </cell>
          <cell r="DL4">
            <v>223929029.05117351</v>
          </cell>
          <cell r="DM4">
            <v>245890835.40964365</v>
          </cell>
          <cell r="DN4">
            <v>270063015.34986532</v>
          </cell>
          <cell r="DO4">
            <v>296671218.58976483</v>
          </cell>
          <cell r="DP4">
            <v>325964293.94279832</v>
          </cell>
          <cell r="DQ4">
            <v>358216683.59336758</v>
          </cell>
          <cell r="DR4">
            <v>393731065.02437222</v>
          </cell>
          <cell r="DS4">
            <v>432841266.24705327</v>
          </cell>
          <cell r="DT4">
            <v>475915482.6421321</v>
          </cell>
          <cell r="DU4">
            <v>523359826.65584874</v>
          </cell>
          <cell r="DV4">
            <v>575622244.8334589</v>
          </cell>
          <cell r="DW4">
            <v>633196840.24764419</v>
          </cell>
          <cell r="DX4">
            <v>696628642.32496917</v>
          </cell>
          <cell r="DY4">
            <v>766518870.42844903</v>
          </cell>
          <cell r="DZ4">
            <v>843530742.36094916</v>
          </cell>
          <cell r="EA4">
            <v>928395884.2593627</v>
          </cell>
          <cell r="EB4">
            <v>1021921404.2050668</v>
          </cell>
          <cell r="EC4">
            <v>1124997698.3391047</v>
          </cell>
          <cell r="ED4">
            <v>1238607065.4039404</v>
          </cell>
          <cell r="EE4">
            <v>1363833213.5070119</v>
          </cell>
          <cell r="EF4">
            <v>1501871751.5914807</v>
          </cell>
          <cell r="EG4">
            <v>1654041767.6912663</v>
          </cell>
          <cell r="EH4">
            <v>1821798606.6342294</v>
          </cell>
          <cell r="EI4">
            <v>2006747971.5424519</v>
          </cell>
          <cell r="EJ4">
            <v>2210661486.375968</v>
          </cell>
          <cell r="EK4">
            <v>2435493871.0017719</v>
          </cell>
          <cell r="EL4">
            <v>2683401895.9823413</v>
          </cell>
          <cell r="EM4">
            <v>2956765301.6205535</v>
          </cell>
          <cell r="EN4">
            <v>520415.61274968903</v>
          </cell>
          <cell r="EO4">
            <v>538763.46322710591</v>
          </cell>
          <cell r="EP4">
            <v>557811.94448730827</v>
          </cell>
          <cell r="EQ4">
            <v>577590.95249853935</v>
          </cell>
          <cell r="ER4">
            <v>598131.8284153092</v>
          </cell>
          <cell r="ES4">
            <v>619467.4366254888</v>
          </cell>
          <cell r="ET4">
            <v>641632.24736125336</v>
          </cell>
          <cell r="EU4">
            <v>664662.42415406136</v>
          </cell>
          <cell r="EV4">
            <v>688595.91643152467</v>
          </cell>
          <cell r="EW4">
            <v>713472.55757282919</v>
          </cell>
          <cell r="EX4">
            <v>739334.16875936731</v>
          </cell>
          <cell r="EY4">
            <v>766224.66897852556</v>
          </cell>
          <cell r="EZ4">
            <v>794190.19156122103</v>
          </cell>
          <cell r="FA4">
            <v>823279.20765787805</v>
          </cell>
          <cell r="FB4">
            <v>853542.65708317363</v>
          </cell>
          <cell r="FC4">
            <v>885034.08698717575</v>
          </cell>
          <cell r="FD4">
            <v>917809.79883952276</v>
          </cell>
          <cell r="FE4">
            <v>951929.00424420414</v>
          </cell>
          <cell r="FF4">
            <v>987453.99013537203</v>
          </cell>
          <cell r="FG4">
            <v>1024450.293939617</v>
          </cell>
          <cell r="FH4">
            <v>1062986.889327372</v>
          </cell>
          <cell r="FI4">
            <v>1103136.3832157489</v>
          </cell>
          <cell r="FJ4">
            <v>1144975.2247272853</v>
          </cell>
          <cell r="FK4">
            <v>1188583.9268539706</v>
          </cell>
          <cell r="FL4">
            <v>1234047.3016236976</v>
          </cell>
          <cell r="FM4">
            <v>1281454.7096171349</v>
          </cell>
          <cell r="FN4">
            <v>1330900.3247371314</v>
          </cell>
          <cell r="FO4">
            <v>1382483.4151903677</v>
          </cell>
          <cell r="FP4">
            <v>1436308.6417022846</v>
          </cell>
          <cell r="FQ4">
            <v>1492486.374051559</v>
          </cell>
          <cell r="FR4">
            <v>1551133.027079874</v>
          </cell>
          <cell r="FS4">
            <v>1612371.4174066456</v>
          </cell>
          <cell r="FT4">
            <v>1676331.1421570699</v>
          </cell>
          <cell r="FU4">
            <v>1743148.9810956193</v>
          </cell>
          <cell r="FV4">
            <v>1812969.3236462662</v>
          </cell>
          <cell r="FW4">
            <v>1885944.6223756464</v>
          </cell>
          <cell r="FX4">
            <v>1962235.8746163687</v>
          </cell>
          <cell r="FY4">
            <v>2042013.1340152535</v>
          </cell>
          <cell r="FZ4">
            <v>2125456.0539057376</v>
          </cell>
          <cell r="GA4">
            <v>2212754.4645255529</v>
          </cell>
          <cell r="GB4">
            <v>2304108.9862305233</v>
          </cell>
          <cell r="GC4">
            <v>2399731.6809933926</v>
          </cell>
          <cell r="GD4">
            <v>2499846.7446236345</v>
          </cell>
          <cell r="GE4">
            <v>2604691.2423006753</v>
          </cell>
          <cell r="GF4">
            <v>2714515.8901795591</v>
          </cell>
          <cell r="GG4">
            <v>2829585.8860054538</v>
          </cell>
          <cell r="GH4">
            <v>2950181.7918621963</v>
          </cell>
          <cell r="GI4">
            <v>3076600.4723810828</v>
          </cell>
          <cell r="GJ4">
            <v>3209156.0919500887</v>
          </cell>
          <cell r="GK4">
            <v>3348181.1746915453</v>
          </cell>
          <cell r="GL4">
            <v>3494027.731218772</v>
          </cell>
          <cell r="GM4">
            <v>3647068.4564404287</v>
          </cell>
          <cell r="GN4">
            <v>3807698.002956205</v>
          </cell>
          <cell r="GO4">
            <v>3976334.3348801057</v>
          </cell>
          <cell r="GP4">
            <v>4153420.1672392027</v>
          </cell>
          <cell r="GQ4">
            <v>4339424.4964274084</v>
          </cell>
          <cell r="GR4">
            <v>4534844.227546975</v>
          </cell>
          <cell r="GS4">
            <v>4740205.9048464634</v>
          </cell>
          <cell r="GT4">
            <v>4956067.5518641714</v>
          </cell>
          <cell r="GU4">
            <v>5183020.6283122646</v>
          </cell>
          <cell r="GV4">
            <v>5421692.1111905742</v>
          </cell>
          <cell r="GW4">
            <v>5672746.7081021564</v>
          </cell>
          <cell r="GX4">
            <v>5936889.2112570796</v>
          </cell>
          <cell r="GY4">
            <v>6214867.0011985153</v>
          </cell>
          <cell r="GZ4">
            <v>6507472.7098683175</v>
          </cell>
          <cell r="HA4">
            <v>6815547.053250052</v>
          </cell>
          <cell r="HB4">
            <v>7139981.844488414</v>
          </cell>
          <cell r="HC4">
            <v>7481723.1990877055</v>
          </cell>
          <cell r="HD4">
            <v>7841774.9445413686</v>
          </cell>
          <cell r="HE4">
            <v>8221202.2475423142</v>
          </cell>
          <cell r="HF4">
            <v>8621135.4727732223</v>
          </cell>
          <cell r="HG4">
            <v>9042774.2881804369</v>
          </cell>
          <cell r="HH4">
            <v>9487392.0325979479</v>
          </cell>
          <cell r="HI4">
            <v>9956340.3626133837</v>
          </cell>
          <cell r="HJ4">
            <v>10451054.196659442</v>
          </cell>
          <cell r="HK4">
            <v>10973056.975476738</v>
          </cell>
          <cell r="HL4">
            <v>11523966.259331483</v>
          </cell>
          <cell r="HM4">
            <v>12105499.683689337</v>
          </cell>
          <cell r="HN4">
            <v>12719481.296449788</v>
          </cell>
          <cell r="HO4">
            <v>13367848.30133936</v>
          </cell>
          <cell r="HP4">
            <v>14052658.233652767</v>
          </cell>
          <cell r="HQ4">
            <v>14776096.596224746</v>
          </cell>
          <cell r="HR4">
            <v>15540484.985318858</v>
          </cell>
          <cell r="HS4">
            <v>16348289.738039782</v>
          </cell>
          <cell r="HT4">
            <v>17202131.134920217</v>
          </cell>
          <cell r="HU4">
            <v>18104793.193510666</v>
          </cell>
          <cell r="HV4">
            <v>19059234.091118496</v>
          </cell>
          <cell r="HW4">
            <v>20068597.257310938</v>
          </cell>
          <cell r="HX4">
            <v>21136223.179424949</v>
          </cell>
          <cell r="HY4">
            <v>22265661.967125304</v>
          </cell>
          <cell r="HZ4">
            <v>23460686.725032173</v>
          </cell>
          <cell r="IA4">
            <v>24725307.785612144</v>
          </cell>
          <cell r="IB4">
            <v>26063787.857905351</v>
          </cell>
          <cell r="IC4">
            <v>27480658.151258551</v>
          </cell>
          <cell r="ID4">
            <v>28980735.537064523</v>
          </cell>
          <cell r="IE4">
            <v>30569140.815586913</v>
          </cell>
          <cell r="IF4">
            <v>32251318.159292519</v>
          </cell>
          <cell r="IG4">
            <v>34033055.808737785</v>
          </cell>
          <cell r="IH4">
            <v>35920508.101979792</v>
          </cell>
          <cell r="II4">
            <v>37920218.923726097</v>
          </cell>
          <cell r="IJ4">
            <v>40039146.666020252</v>
          </cell>
          <cell r="IK4">
            <v>42284690.798204951</v>
          </cell>
          <cell r="IL4">
            <v>44664720.150235124</v>
          </cell>
          <cell r="IM4">
            <v>47187603.020153582</v>
          </cell>
          <cell r="IN4">
            <v>49862239.223719493</v>
          </cell>
          <cell r="IO4">
            <v>52698094.211822301</v>
          </cell>
          <cell r="IP4">
            <v>55705235.389452152</v>
          </cell>
          <cell r="IQ4">
            <v>58894370.77866298</v>
          </cell>
          <cell r="IR4">
            <v>62276890.177191921</v>
          </cell>
          <cell r="IS4">
            <v>65864908.974224053</v>
          </cell>
          <cell r="IT4">
            <v>69671314.795253769</v>
          </cell>
          <cell r="IU4">
            <v>73709817.159134492</v>
          </cell>
          <cell r="IV4">
            <v>77995000.342271388</v>
          </cell>
          <cell r="IW4">
            <v>82542379.657543093</v>
          </cell>
          <cell r="IX4">
            <v>87368461.368989795</v>
          </cell>
          <cell r="IY4">
            <v>92490806.477626562</v>
          </cell>
          <cell r="IZ4">
            <v>97928098.628993273</v>
          </cell>
          <cell r="JA4">
            <v>103700216.40929124</v>
          </cell>
          <cell r="JB4">
            <v>109828310.31425074</v>
          </cell>
          <cell r="JC4">
            <v>116334884.69328547</v>
          </cell>
          <cell r="JD4">
            <v>0</v>
          </cell>
          <cell r="JE4">
            <v>0</v>
          </cell>
          <cell r="JF4">
            <v>0</v>
          </cell>
          <cell r="JG4">
            <v>4.1593421359987512E-3</v>
          </cell>
          <cell r="JH4">
            <v>49877.229500000001</v>
          </cell>
          <cell r="JI4">
            <v>1</v>
          </cell>
          <cell r="JJ4">
            <v>451217.62374201545</v>
          </cell>
          <cell r="JK4">
            <v>3.1273022896500004E-2</v>
          </cell>
        </row>
        <row r="5">
          <cell r="B5" t="str">
            <v>Ferry_Replaced</v>
          </cell>
          <cell r="C5" t="str">
            <v>Ferry_Replaced</v>
          </cell>
          <cell r="D5">
            <v>5700000</v>
          </cell>
          <cell r="E5">
            <v>0</v>
          </cell>
          <cell r="F5">
            <v>0</v>
          </cell>
          <cell r="G5">
            <v>0</v>
          </cell>
          <cell r="H5">
            <v>0</v>
          </cell>
          <cell r="I5">
            <v>3</v>
          </cell>
          <cell r="J5">
            <v>15</v>
          </cell>
          <cell r="L5">
            <v>0</v>
          </cell>
          <cell r="M5">
            <v>0</v>
          </cell>
          <cell r="N5">
            <v>0</v>
          </cell>
          <cell r="O5">
            <v>0</v>
          </cell>
          <cell r="P5">
            <v>356.40551227191207</v>
          </cell>
          <cell r="Q5">
            <v>9.8756914409999993E-2</v>
          </cell>
          <cell r="R5">
            <v>0</v>
          </cell>
          <cell r="S5">
            <v>3.1273022896500004E-2</v>
          </cell>
          <cell r="T5">
            <v>1669.5052078454573</v>
          </cell>
          <cell r="U5">
            <v>3.1273022896500004E-2</v>
          </cell>
          <cell r="V5">
            <v>0</v>
          </cell>
          <cell r="W5">
            <v>3.1273022896500004E-2</v>
          </cell>
          <cell r="X5">
            <v>-633642.1132091477</v>
          </cell>
          <cell r="Y5">
            <v>-610840.65145344334</v>
          </cell>
          <cell r="Z5">
            <v>-587022.68735710136</v>
          </cell>
          <cell r="AA5">
            <v>-562130.48640418029</v>
          </cell>
          <cell r="AB5">
            <v>-536102.15579265507</v>
          </cell>
          <cell r="AC5">
            <v>-508871.29163083714</v>
          </cell>
          <cell r="AD5">
            <v>-480366.59334979788</v>
          </cell>
          <cell r="AE5">
            <v>-450511.44213718036</v>
          </cell>
          <cell r="AF5">
            <v>-419223.43987840938</v>
          </cell>
          <cell r="AG5">
            <v>-386413.90473953832</v>
          </cell>
          <cell r="AH5">
            <v>-351987.31913849595</v>
          </cell>
          <cell r="AI5">
            <v>-315840.7254246315</v>
          </cell>
          <cell r="AJ5">
            <v>-277863.06411620486</v>
          </cell>
          <cell r="AK5">
            <v>-237934.44902736368</v>
          </cell>
          <cell r="AL5">
            <v>-195925.37304527499</v>
          </cell>
          <cell r="AM5">
            <v>-151695.83768905886</v>
          </cell>
          <cell r="AN5">
            <v>-105094.39888898795</v>
          </cell>
          <cell r="AO5">
            <v>-55957.120660536224</v>
          </cell>
          <cell r="AP5">
            <v>-4106.4275059802458</v>
          </cell>
          <cell r="AQ5">
            <v>50650.154551613843</v>
          </cell>
          <cell r="AR5">
            <v>108521.37941988441</v>
          </cell>
          <cell r="AS5">
            <v>169733.79711930617</v>
          </cell>
          <cell r="AT5">
            <v>234533.41818373674</v>
          </cell>
          <cell r="AU5">
            <v>303187.54113697959</v>
          </cell>
          <cell r="AV5">
            <v>375986.75941309426</v>
          </cell>
          <cell r="AW5">
            <v>453247.16575302579</v>
          </cell>
          <cell r="AX5">
            <v>535312.77394565591</v>
          </cell>
          <cell r="AY5">
            <v>622558.17980514863</v>
          </cell>
          <cell r="AZ5">
            <v>715391.48550785962</v>
          </cell>
          <cell r="BA5">
            <v>814257.51387253636</v>
          </cell>
          <cell r="BB5">
            <v>919641.34188061929</v>
          </cell>
          <cell r="BC5">
            <v>1032072.1857252426</v>
          </cell>
          <cell r="BD5">
            <v>1152127.6729767651</v>
          </cell>
          <cell r="BE5">
            <v>1280438.5410910135</v>
          </cell>
          <cell r="BF5">
            <v>1417693.8054989658</v>
          </cell>
          <cell r="BG5">
            <v>1564646.4449418325</v>
          </cell>
          <cell r="BH5">
            <v>1722119.6565961309</v>
          </cell>
          <cell r="BI5">
            <v>1891013.7389163293</v>
          </cell>
          <cell r="BJ5">
            <v>2072313.6660598333</v>
          </cell>
          <cell r="BK5">
            <v>2267097.424307812</v>
          </cell>
          <cell r="BL5">
            <v>2476545.1881186524</v>
          </cell>
          <cell r="BM5">
            <v>2701949.4214185197</v>
          </cell>
          <cell r="BN5">
            <v>2944725.9985224148</v>
          </cell>
          <cell r="BO5">
            <v>3206426.4487741357</v>
          </cell>
          <cell r="BP5">
            <v>3488751.4396883678</v>
          </cell>
          <cell r="BQ5">
            <v>3793565.6251760777</v>
          </cell>
          <cell r="BR5">
            <v>4122913.9984495183</v>
          </cell>
          <cell r="BS5">
            <v>4479039.9035613043</v>
          </cell>
          <cell r="BT5">
            <v>4864404.8753722161</v>
          </cell>
          <cell r="BU5">
            <v>5281710.4952176763</v>
          </cell>
          <cell r="BV5">
            <v>5733922.4688226674</v>
          </cell>
          <cell r="BW5">
            <v>6224297.1542857029</v>
          </cell>
          <cell r="BX5">
            <v>6756410.7914202791</v>
          </cell>
          <cell r="BY5">
            <v>7334191.7096347623</v>
          </cell>
          <cell r="BZ5">
            <v>7961955.8200992942</v>
          </cell>
          <cell r="CA5">
            <v>8644445.729468314</v>
          </cell>
          <cell r="CB5">
            <v>9386873.847205231</v>
          </cell>
          <cell r="CC5">
            <v>10194969.896928778</v>
          </cell>
          <cell r="CD5">
            <v>11075033.28454094</v>
          </cell>
          <cell r="CE5">
            <v>12033990.822614947</v>
          </cell>
          <cell r="CF5">
            <v>13079460.362071866</v>
          </cell>
          <cell r="CG5">
            <v>14219820.9390563</v>
          </cell>
          <cell r="CH5">
            <v>15464290.107687686</v>
          </cell>
          <cell r="CI5">
            <v>16823009.198623396</v>
          </cell>
          <cell r="CJ5">
            <v>18307137.319795553</v>
          </cell>
          <cell r="CK5">
            <v>19928955.00001787</v>
          </cell>
          <cell r="CL5">
            <v>21701978.469221052</v>
          </cell>
          <cell r="CM5">
            <v>23641085.671769667</v>
          </cell>
          <cell r="CN5">
            <v>25762655.222637925</v>
          </cell>
          <cell r="CO5">
            <v>28084719.641278081</v>
          </cell>
          <cell r="CP5">
            <v>30627134.336018685</v>
          </cell>
          <cell r="CQ5">
            <v>33411763.964122564</v>
          </cell>
          <cell r="CR5">
            <v>36462687.96069745</v>
          </cell>
          <cell r="CS5">
            <v>39806427.215119012</v>
          </cell>
          <cell r="CT5">
            <v>43472194.078302078</v>
          </cell>
          <cell r="CU5">
            <v>47492168.110030964</v>
          </cell>
          <cell r="CV5">
            <v>51901800.224832043</v>
          </cell>
          <cell r="CW5">
            <v>56740148.169966549</v>
          </cell>
          <cell r="CX5">
            <v>62050246.572715476</v>
          </cell>
          <cell r="CY5">
            <v>67879515.129177377</v>
          </cell>
          <cell r="CZ5">
            <v>74280208.876562431</v>
          </cell>
          <cell r="DA5">
            <v>81309914.899045691</v>
          </cell>
          <cell r="DB5">
            <v>89032100.267605394</v>
          </cell>
          <cell r="DC5">
            <v>97516716.511312768</v>
          </cell>
          <cell r="DD5">
            <v>106840866.46608549</v>
          </cell>
          <cell r="DE5">
            <v>117089539.95232199</v>
          </cell>
          <cell r="DF5">
            <v>128356425.40098271</v>
          </cell>
          <cell r="DG5">
            <v>140744805.28509456</v>
          </cell>
          <cell r="DH5">
            <v>154368544.02749908</v>
          </cell>
          <cell r="DI5">
            <v>169353177.95387965</v>
          </cell>
          <cell r="DJ5">
            <v>185837117.85143089</v>
          </cell>
          <cell r="DK5">
            <v>203972975.78763849</v>
          </cell>
          <cell r="DL5">
            <v>223929029.05117351</v>
          </cell>
          <cell r="DM5">
            <v>245890835.40964365</v>
          </cell>
          <cell r="DN5">
            <v>270063015.34986532</v>
          </cell>
          <cell r="DO5">
            <v>296671218.58976483</v>
          </cell>
          <cell r="DP5">
            <v>325964293.94279832</v>
          </cell>
          <cell r="DQ5">
            <v>358216683.59336758</v>
          </cell>
          <cell r="DR5">
            <v>393731065.02437222</v>
          </cell>
          <cell r="DS5">
            <v>432841266.24705327</v>
          </cell>
          <cell r="DT5">
            <v>475915482.6421321</v>
          </cell>
          <cell r="DU5">
            <v>523359826.65584874</v>
          </cell>
          <cell r="DV5">
            <v>575622244.8334589</v>
          </cell>
          <cell r="DW5">
            <v>633196840.24764419</v>
          </cell>
          <cell r="DX5">
            <v>696628642.32496917</v>
          </cell>
          <cell r="DY5">
            <v>766518870.42844903</v>
          </cell>
          <cell r="DZ5">
            <v>843530742.36094916</v>
          </cell>
          <cell r="EA5">
            <v>928395884.2593627</v>
          </cell>
          <cell r="EB5">
            <v>1021921404.2050668</v>
          </cell>
          <cell r="EC5">
            <v>1124997698.3391047</v>
          </cell>
          <cell r="ED5">
            <v>1238607065.4039404</v>
          </cell>
          <cell r="EE5">
            <v>1363833213.5070119</v>
          </cell>
          <cell r="EF5">
            <v>1501871751.5914807</v>
          </cell>
          <cell r="EG5">
            <v>1654041767.6912663</v>
          </cell>
          <cell r="EH5">
            <v>1821798606.6342294</v>
          </cell>
          <cell r="EI5">
            <v>2006747971.5424519</v>
          </cell>
          <cell r="EJ5">
            <v>2210661486.375968</v>
          </cell>
          <cell r="EK5">
            <v>2435493871.0017719</v>
          </cell>
          <cell r="EL5">
            <v>2683401895.9823413</v>
          </cell>
          <cell r="EM5">
            <v>2956765301.6205535</v>
          </cell>
          <cell r="EN5">
            <v>520415.61274968903</v>
          </cell>
          <cell r="EO5">
            <v>538763.46322710591</v>
          </cell>
          <cell r="EP5">
            <v>557811.94448730827</v>
          </cell>
          <cell r="EQ5">
            <v>577590.95249853935</v>
          </cell>
          <cell r="ER5">
            <v>598131.8284153092</v>
          </cell>
          <cell r="ES5">
            <v>619467.4366254888</v>
          </cell>
          <cell r="ET5">
            <v>641632.24736125336</v>
          </cell>
          <cell r="EU5">
            <v>664662.42415406136</v>
          </cell>
          <cell r="EV5">
            <v>688595.91643152467</v>
          </cell>
          <cell r="EW5">
            <v>713472.55757282919</v>
          </cell>
          <cell r="EX5">
            <v>739334.16875936731</v>
          </cell>
          <cell r="EY5">
            <v>766224.66897852556</v>
          </cell>
          <cell r="EZ5">
            <v>794190.19156122103</v>
          </cell>
          <cell r="FA5">
            <v>823279.20765787805</v>
          </cell>
          <cell r="FB5">
            <v>853542.65708317363</v>
          </cell>
          <cell r="FC5">
            <v>885034.08698717575</v>
          </cell>
          <cell r="FD5">
            <v>917809.79883952276</v>
          </cell>
          <cell r="FE5">
            <v>951929.00424420414</v>
          </cell>
          <cell r="FF5">
            <v>987453.99013537203</v>
          </cell>
          <cell r="FG5">
            <v>1024450.293939617</v>
          </cell>
          <cell r="FH5">
            <v>1062986.889327372</v>
          </cell>
          <cell r="FI5">
            <v>1103136.3832157489</v>
          </cell>
          <cell r="FJ5">
            <v>1144975.2247272853</v>
          </cell>
          <cell r="FK5">
            <v>1188583.9268539706</v>
          </cell>
          <cell r="FL5">
            <v>1234047.3016236976</v>
          </cell>
          <cell r="FM5">
            <v>1281454.7096171349</v>
          </cell>
          <cell r="FN5">
            <v>1330900.3247371314</v>
          </cell>
          <cell r="FO5">
            <v>1382483.4151903677</v>
          </cell>
          <cell r="FP5">
            <v>1436308.6417022846</v>
          </cell>
          <cell r="FQ5">
            <v>1492486.374051559</v>
          </cell>
          <cell r="FR5">
            <v>1551133.027079874</v>
          </cell>
          <cell r="FS5">
            <v>1612371.4174066456</v>
          </cell>
          <cell r="FT5">
            <v>1676331.1421570699</v>
          </cell>
          <cell r="FU5">
            <v>1743148.9810956193</v>
          </cell>
          <cell r="FV5">
            <v>1812969.3236462662</v>
          </cell>
          <cell r="FW5">
            <v>1885944.6223756464</v>
          </cell>
          <cell r="FX5">
            <v>1962235.8746163687</v>
          </cell>
          <cell r="FY5">
            <v>2042013.1340152535</v>
          </cell>
          <cell r="FZ5">
            <v>2125456.0539057376</v>
          </cell>
          <cell r="GA5">
            <v>2212754.4645255529</v>
          </cell>
          <cell r="GB5">
            <v>2304108.9862305233</v>
          </cell>
          <cell r="GC5">
            <v>2399731.6809933926</v>
          </cell>
          <cell r="GD5">
            <v>2499846.7446236345</v>
          </cell>
          <cell r="GE5">
            <v>2604691.2423006753</v>
          </cell>
          <cell r="GF5">
            <v>2714515.8901795591</v>
          </cell>
          <cell r="GG5">
            <v>2829585.8860054538</v>
          </cell>
          <cell r="GH5">
            <v>2950181.7918621963</v>
          </cell>
          <cell r="GI5">
            <v>3076600.4723810828</v>
          </cell>
          <cell r="GJ5">
            <v>3209156.0919500887</v>
          </cell>
          <cell r="GK5">
            <v>3348181.1746915453</v>
          </cell>
          <cell r="GL5">
            <v>3494027.731218772</v>
          </cell>
          <cell r="GM5">
            <v>3647068.4564404287</v>
          </cell>
          <cell r="GN5">
            <v>3807698.002956205</v>
          </cell>
          <cell r="GO5">
            <v>3976334.3348801057</v>
          </cell>
          <cell r="GP5">
            <v>4153420.1672392027</v>
          </cell>
          <cell r="GQ5">
            <v>4339424.4964274084</v>
          </cell>
          <cell r="GR5">
            <v>4534844.227546975</v>
          </cell>
          <cell r="GS5">
            <v>4740205.9048464634</v>
          </cell>
          <cell r="GT5">
            <v>4956067.5518641714</v>
          </cell>
          <cell r="GU5">
            <v>5183020.6283122646</v>
          </cell>
          <cell r="GV5">
            <v>5421692.1111905742</v>
          </cell>
          <cell r="GW5">
            <v>5672746.7081021564</v>
          </cell>
          <cell r="GX5">
            <v>5936889.2112570796</v>
          </cell>
          <cell r="GY5">
            <v>6214867.0011985153</v>
          </cell>
          <cell r="GZ5">
            <v>6507472.7098683175</v>
          </cell>
          <cell r="HA5">
            <v>6815547.053250052</v>
          </cell>
          <cell r="HB5">
            <v>7139981.844488414</v>
          </cell>
          <cell r="HC5">
            <v>7481723.1990877055</v>
          </cell>
          <cell r="HD5">
            <v>7841774.9445413686</v>
          </cell>
          <cell r="HE5">
            <v>8221202.2475423142</v>
          </cell>
          <cell r="HF5">
            <v>8621135.4727732223</v>
          </cell>
          <cell r="HG5">
            <v>9042774.2881804369</v>
          </cell>
          <cell r="HH5">
            <v>9487392.0325979479</v>
          </cell>
          <cell r="HI5">
            <v>9956340.3626133837</v>
          </cell>
          <cell r="HJ5">
            <v>10451054.196659442</v>
          </cell>
          <cell r="HK5">
            <v>10973056.975476738</v>
          </cell>
          <cell r="HL5">
            <v>11523966.259331483</v>
          </cell>
          <cell r="HM5">
            <v>12105499.683689337</v>
          </cell>
          <cell r="HN5">
            <v>12719481.296449788</v>
          </cell>
          <cell r="HO5">
            <v>13367848.30133936</v>
          </cell>
          <cell r="HP5">
            <v>14052658.233652767</v>
          </cell>
          <cell r="HQ5">
            <v>14776096.596224746</v>
          </cell>
          <cell r="HR5">
            <v>15540484.985318858</v>
          </cell>
          <cell r="HS5">
            <v>16348289.738039782</v>
          </cell>
          <cell r="HT5">
            <v>17202131.134920217</v>
          </cell>
          <cell r="HU5">
            <v>18104793.193510666</v>
          </cell>
          <cell r="HV5">
            <v>19059234.091118496</v>
          </cell>
          <cell r="HW5">
            <v>20068597.257310938</v>
          </cell>
          <cell r="HX5">
            <v>21136223.179424949</v>
          </cell>
          <cell r="HY5">
            <v>22265661.967125304</v>
          </cell>
          <cell r="HZ5">
            <v>23460686.725032173</v>
          </cell>
          <cell r="IA5">
            <v>24725307.785612144</v>
          </cell>
          <cell r="IB5">
            <v>26063787.857905351</v>
          </cell>
          <cell r="IC5">
            <v>27480658.151258551</v>
          </cell>
          <cell r="ID5">
            <v>28980735.537064523</v>
          </cell>
          <cell r="IE5">
            <v>30569140.815586913</v>
          </cell>
          <cell r="IF5">
            <v>32251318.159292519</v>
          </cell>
          <cell r="IG5">
            <v>34033055.808737785</v>
          </cell>
          <cell r="IH5">
            <v>35920508.101979792</v>
          </cell>
          <cell r="II5">
            <v>37920218.923726097</v>
          </cell>
          <cell r="IJ5">
            <v>40039146.666020252</v>
          </cell>
          <cell r="IK5">
            <v>42284690.798204951</v>
          </cell>
          <cell r="IL5">
            <v>44664720.150235124</v>
          </cell>
          <cell r="IM5">
            <v>47187603.020153582</v>
          </cell>
          <cell r="IN5">
            <v>49862239.223719493</v>
          </cell>
          <cell r="IO5">
            <v>52698094.211822301</v>
          </cell>
          <cell r="IP5">
            <v>55705235.389452152</v>
          </cell>
          <cell r="IQ5">
            <v>58894370.77866298</v>
          </cell>
          <cell r="IR5">
            <v>62276890.177191921</v>
          </cell>
          <cell r="IS5">
            <v>65864908.974224053</v>
          </cell>
          <cell r="IT5">
            <v>69671314.795253769</v>
          </cell>
          <cell r="IU5">
            <v>73709817.159134492</v>
          </cell>
          <cell r="IV5">
            <v>77995000.342271388</v>
          </cell>
          <cell r="IW5">
            <v>82542379.657543093</v>
          </cell>
          <cell r="IX5">
            <v>87368461.368989795</v>
          </cell>
          <cell r="IY5">
            <v>92490806.477626562</v>
          </cell>
          <cell r="IZ5">
            <v>97928098.628993273</v>
          </cell>
          <cell r="JA5">
            <v>103700216.40929124</v>
          </cell>
          <cell r="JB5">
            <v>109828310.31425074</v>
          </cell>
          <cell r="JC5">
            <v>116334884.69328547</v>
          </cell>
          <cell r="JD5">
            <v>0</v>
          </cell>
          <cell r="JE5">
            <v>0</v>
          </cell>
          <cell r="JF5">
            <v>0</v>
          </cell>
          <cell r="JG5">
            <v>4.1593421359987512E-3</v>
          </cell>
          <cell r="JH5">
            <v>49877.229500000001</v>
          </cell>
          <cell r="JI5">
            <v>1</v>
          </cell>
          <cell r="JJ5">
            <v>451217.62374201545</v>
          </cell>
          <cell r="JK5">
            <v>3.1273022896500004E-2</v>
          </cell>
        </row>
      </sheetData>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s and Paramete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A9F3-637C-4F42-B71E-1601DFA5FB8B}">
  <sheetPr>
    <tabColor theme="4" tint="0.79998168889431442"/>
  </sheetPr>
  <dimension ref="A1:BH163"/>
  <sheetViews>
    <sheetView tabSelected="1" zoomScaleNormal="100" zoomScalePageLayoutView="110" workbookViewId="0">
      <selection activeCell="F27" sqref="F27"/>
    </sheetView>
  </sheetViews>
  <sheetFormatPr baseColWidth="10" defaultColWidth="0" defaultRowHeight="16"/>
  <cols>
    <col min="1" max="1" width="2.33203125" style="7" customWidth="1"/>
    <col min="2" max="2" width="4.83203125" style="7" customWidth="1"/>
    <col min="3" max="3" width="45" style="7" customWidth="1"/>
    <col min="4" max="4" width="1.1640625" style="7" customWidth="1"/>
    <col min="5" max="16" width="15.83203125" style="7" customWidth="1"/>
    <col min="17" max="54" width="11" style="7" customWidth="1"/>
    <col min="55" max="55" width="11" style="6" customWidth="1"/>
    <col min="56" max="57" width="11" style="6" hidden="1" customWidth="1"/>
    <col min="58" max="58" width="38.83203125" style="6" hidden="1" customWidth="1"/>
    <col min="59" max="16384" width="11" style="6" hidden="1"/>
  </cols>
  <sheetData>
    <row r="1" spans="1:60" s="7"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60" s="13" customFormat="1" ht="24">
      <c r="A2" s="8"/>
      <c r="B2" s="9"/>
      <c r="C2" s="10" t="s">
        <v>133</v>
      </c>
      <c r="D2" s="11"/>
      <c r="E2" s="11"/>
      <c r="F2" s="11"/>
      <c r="G2" s="11"/>
      <c r="H2" s="9"/>
      <c r="I2" s="9"/>
      <c r="J2" s="9"/>
      <c r="K2" s="9"/>
      <c r="L2" s="9"/>
      <c r="M2" s="9"/>
      <c r="N2" s="9"/>
      <c r="O2" s="9"/>
      <c r="P2" s="12"/>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spans="1:60" s="13" customFormat="1" ht="24">
      <c r="A3" s="8"/>
      <c r="B3" s="9"/>
      <c r="C3" s="14" t="s">
        <v>124</v>
      </c>
      <c r="D3" s="15"/>
      <c r="E3" s="11"/>
      <c r="F3" s="11"/>
      <c r="G3" s="11"/>
      <c r="H3" s="9"/>
      <c r="I3" s="9"/>
      <c r="J3" s="9"/>
      <c r="K3" s="9"/>
      <c r="L3" s="9"/>
      <c r="M3" s="9"/>
      <c r="N3" s="9"/>
      <c r="O3" s="9"/>
      <c r="P3" s="12" t="s">
        <v>158</v>
      </c>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row>
    <row r="4" spans="1:60" s="7" customFormat="1">
      <c r="A4" s="6"/>
      <c r="B4" s="6"/>
      <c r="C4" s="16"/>
      <c r="D4" s="16"/>
      <c r="E4" s="16"/>
      <c r="F4" s="16"/>
      <c r="G4" s="1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row>
    <row r="5" spans="1:60" s="7" customFormat="1" ht="17" thickBot="1">
      <c r="A5" s="6"/>
      <c r="B5" s="6"/>
      <c r="C5" s="17" t="s">
        <v>104</v>
      </c>
      <c r="D5" s="17"/>
      <c r="E5" s="16"/>
      <c r="F5" s="1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17" t="s">
        <v>40</v>
      </c>
      <c r="BG5" s="16"/>
      <c r="BH5" s="6"/>
    </row>
    <row r="6" spans="1:60" s="7" customFormat="1">
      <c r="A6" s="6"/>
      <c r="B6" s="6"/>
      <c r="C6" s="18" t="s">
        <v>20</v>
      </c>
      <c r="D6" s="16"/>
      <c r="E6" s="18" t="s">
        <v>41</v>
      </c>
      <c r="F6" s="19" t="s">
        <v>42</v>
      </c>
      <c r="G6" s="20"/>
      <c r="H6" s="20"/>
      <c r="I6" s="20"/>
      <c r="J6" s="21" t="s">
        <v>43</v>
      </c>
      <c r="K6" s="20"/>
      <c r="L6" s="20"/>
      <c r="M6" s="20"/>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22" t="s">
        <v>20</v>
      </c>
      <c r="BG6" s="23" t="s">
        <v>14</v>
      </c>
      <c r="BH6" s="6"/>
    </row>
    <row r="7" spans="1:60" s="7" customFormat="1" ht="4.5" customHeight="1">
      <c r="A7" s="6"/>
      <c r="B7" s="6"/>
      <c r="C7" s="16"/>
      <c r="D7" s="16"/>
      <c r="E7" s="24"/>
      <c r="F7" s="24"/>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25"/>
      <c r="BG7" s="26"/>
      <c r="BH7" s="6"/>
    </row>
    <row r="8" spans="1:60" s="7" customFormat="1">
      <c r="A8" s="6"/>
      <c r="B8" s="6"/>
      <c r="C8" s="6" t="s">
        <v>51</v>
      </c>
      <c r="D8" s="6"/>
      <c r="E8" s="27"/>
      <c r="F8" s="28" t="s">
        <v>52</v>
      </c>
      <c r="G8" s="29"/>
      <c r="H8" s="29"/>
      <c r="I8" s="29"/>
      <c r="J8" s="29"/>
      <c r="K8" s="29"/>
      <c r="L8" s="29"/>
      <c r="M8" s="29"/>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30" t="str">
        <f>C8</f>
        <v>State</v>
      </c>
      <c r="BG8" s="31" t="str">
        <f>IF(F8&lt;&gt;"",F8,E8)</f>
        <v>Alabama</v>
      </c>
      <c r="BH8" s="6"/>
    </row>
    <row r="9" spans="1:60" s="7" customFormat="1" ht="2.25" customHeight="1">
      <c r="A9" s="6"/>
      <c r="B9" s="6"/>
      <c r="C9" s="6"/>
      <c r="D9" s="6"/>
      <c r="E9" s="27"/>
      <c r="F9" s="169"/>
      <c r="G9" s="29"/>
      <c r="H9" s="29"/>
      <c r="I9" s="29"/>
      <c r="J9" s="29"/>
      <c r="K9" s="29"/>
      <c r="L9" s="29"/>
      <c r="M9" s="29"/>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30"/>
      <c r="BG9" s="31"/>
      <c r="BH9" s="6"/>
    </row>
    <row r="10" spans="1:60" s="7" customFormat="1">
      <c r="A10" s="6"/>
      <c r="B10" s="6"/>
      <c r="C10" s="6" t="s">
        <v>155</v>
      </c>
      <c r="D10" s="6"/>
      <c r="E10" s="60">
        <f>VLOOKUP($F$8,$C$62:$J$112,3)</f>
        <v>71734.627819999994</v>
      </c>
      <c r="F10" s="221"/>
      <c r="G10" s="29"/>
      <c r="H10" s="29"/>
      <c r="I10" s="29"/>
      <c r="J10" s="29"/>
      <c r="K10" s="29"/>
      <c r="L10" s="29"/>
      <c r="M10" s="29"/>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30" t="str">
        <f>C10</f>
        <v>VMT (millions)</v>
      </c>
      <c r="BG10" s="43">
        <f>IF(F10&lt;&gt;"",F10,E10)</f>
        <v>71734.627819999994</v>
      </c>
      <c r="BH10" s="6"/>
    </row>
    <row r="11" spans="1:60" s="7" customFormat="1" ht="2.25" customHeight="1">
      <c r="A11" s="6"/>
      <c r="B11" s="6"/>
      <c r="C11" s="6"/>
      <c r="D11" s="6"/>
      <c r="E11" s="40"/>
      <c r="F11" s="171"/>
      <c r="G11" s="29"/>
      <c r="H11" s="29"/>
      <c r="I11" s="29"/>
      <c r="J11" s="29"/>
      <c r="K11" s="29"/>
      <c r="L11" s="29"/>
      <c r="M11" s="29"/>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30"/>
      <c r="BG11" s="43"/>
      <c r="BH11" s="6"/>
    </row>
    <row r="12" spans="1:60" s="7" customFormat="1">
      <c r="A12" s="6"/>
      <c r="B12" s="6"/>
      <c r="C12" s="6" t="s">
        <v>156</v>
      </c>
      <c r="D12" s="6"/>
      <c r="E12" s="60">
        <f>VLOOKUP($F$8,$C$62:$J$112,4)</f>
        <v>31565.333989999999</v>
      </c>
      <c r="F12" s="221"/>
      <c r="G12" s="29"/>
      <c r="H12" s="29"/>
      <c r="I12" s="29"/>
      <c r="J12" s="29"/>
      <c r="K12" s="29"/>
      <c r="L12" s="29"/>
      <c r="M12" s="29"/>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30" t="str">
        <f>C12</f>
        <v>NHS VMT (millions)</v>
      </c>
      <c r="BG12" s="45">
        <f>IF(F12&lt;&gt;"",F12,E12)</f>
        <v>31565.333989999999</v>
      </c>
      <c r="BH12" s="6"/>
    </row>
    <row r="13" spans="1:60" s="7" customFormat="1" ht="2.25" customHeight="1">
      <c r="A13" s="6"/>
      <c r="B13" s="6"/>
      <c r="C13" s="6"/>
      <c r="D13" s="6"/>
      <c r="E13" s="34"/>
      <c r="F13" s="172"/>
      <c r="G13" s="29"/>
      <c r="H13" s="29"/>
      <c r="I13" s="29"/>
      <c r="J13" s="29"/>
      <c r="K13" s="29"/>
      <c r="L13" s="29"/>
      <c r="M13" s="29"/>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30"/>
      <c r="BG13" s="45"/>
      <c r="BH13" s="6"/>
    </row>
    <row r="14" spans="1:60" s="7" customFormat="1">
      <c r="A14" s="6"/>
      <c r="B14" s="6"/>
      <c r="C14" s="6" t="s">
        <v>105</v>
      </c>
      <c r="D14" s="6"/>
      <c r="E14" s="60">
        <f>VLOOKUP($F$8,$C$62:$J$112,5)</f>
        <v>2659652</v>
      </c>
      <c r="F14" s="221"/>
      <c r="G14" s="29"/>
      <c r="H14" s="29"/>
      <c r="I14" s="29"/>
      <c r="J14" s="29"/>
      <c r="K14" s="29"/>
      <c r="L14" s="29"/>
      <c r="M14" s="29"/>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30" t="str">
        <f>C14</f>
        <v>Gasoline Consumption (000 gallons)</v>
      </c>
      <c r="BG14" s="35">
        <f>IF(F14&lt;&gt;"",F14,E14)</f>
        <v>2659652</v>
      </c>
      <c r="BH14" s="6"/>
    </row>
    <row r="15" spans="1:60" s="7" customFormat="1" ht="2.25" customHeight="1">
      <c r="A15" s="6"/>
      <c r="B15" s="6"/>
      <c r="C15" s="6"/>
      <c r="D15" s="6"/>
      <c r="E15" s="34"/>
      <c r="F15" s="172"/>
      <c r="G15" s="29"/>
      <c r="H15" s="29"/>
      <c r="I15" s="29"/>
      <c r="J15" s="29"/>
      <c r="K15" s="29"/>
      <c r="L15" s="29"/>
      <c r="M15" s="29"/>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30"/>
      <c r="BG15" s="35"/>
      <c r="BH15" s="6"/>
    </row>
    <row r="16" spans="1:60" s="7" customFormat="1">
      <c r="A16" s="6"/>
      <c r="B16" s="6"/>
      <c r="C16" s="6" t="s">
        <v>106</v>
      </c>
      <c r="D16" s="6"/>
      <c r="E16" s="60">
        <f>VLOOKUP($F$8,$C$62:$J$112,6)</f>
        <v>874206</v>
      </c>
      <c r="F16" s="221"/>
      <c r="G16" s="29"/>
      <c r="H16" s="29"/>
      <c r="I16" s="29"/>
      <c r="J16" s="29"/>
      <c r="K16" s="29"/>
      <c r="L16" s="29"/>
      <c r="M16" s="29"/>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30" t="str">
        <f>C16</f>
        <v>Special Fuels Consumption (000 gallons)</v>
      </c>
      <c r="BG16" s="35">
        <f>IF(F16&lt;&gt;"",F16,E16)</f>
        <v>874206</v>
      </c>
      <c r="BH16" s="6"/>
    </row>
    <row r="17" spans="1:60" s="7" customForma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42"/>
      <c r="BH17" s="6"/>
    </row>
    <row r="18" spans="1:60" s="7" customFormat="1" ht="17" thickBot="1">
      <c r="A18" s="6"/>
      <c r="B18" s="6"/>
      <c r="C18" s="17" t="s">
        <v>50</v>
      </c>
      <c r="D18" s="17"/>
      <c r="E18" s="16"/>
      <c r="F18" s="1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17" t="s">
        <v>45</v>
      </c>
      <c r="BG18" s="16"/>
      <c r="BH18" s="6"/>
    </row>
    <row r="19" spans="1:60" s="7" customFormat="1">
      <c r="A19" s="6"/>
      <c r="B19" s="6"/>
      <c r="C19" s="18" t="s">
        <v>20</v>
      </c>
      <c r="D19" s="16"/>
      <c r="E19" s="18" t="s">
        <v>41</v>
      </c>
      <c r="F19" s="19" t="s">
        <v>42</v>
      </c>
      <c r="G19" s="20"/>
      <c r="H19" s="20"/>
      <c r="I19" s="20"/>
      <c r="J19" s="21" t="s">
        <v>43</v>
      </c>
      <c r="K19" s="20"/>
      <c r="L19" s="20"/>
      <c r="M19" s="20"/>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22" t="s">
        <v>20</v>
      </c>
      <c r="BG19" s="23" t="s">
        <v>14</v>
      </c>
      <c r="BH19" s="6"/>
    </row>
    <row r="20" spans="1:60" s="7" customFormat="1" ht="2.25" customHeight="1">
      <c r="A20" s="6"/>
      <c r="B20" s="6"/>
      <c r="C20" s="6"/>
      <c r="D20" s="6"/>
      <c r="E20" s="36"/>
      <c r="F20" s="3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30"/>
      <c r="BG20" s="38"/>
      <c r="BH20" s="6"/>
    </row>
    <row r="21" spans="1:60" s="7" customFormat="1">
      <c r="A21" s="6"/>
      <c r="B21" s="6"/>
      <c r="C21" s="6" t="s">
        <v>44</v>
      </c>
      <c r="D21" s="6"/>
      <c r="E21" s="27">
        <v>4</v>
      </c>
      <c r="F21" s="28"/>
      <c r="G21" s="29"/>
      <c r="H21" s="29"/>
      <c r="I21" s="29"/>
      <c r="J21" s="29"/>
      <c r="K21" s="29"/>
      <c r="L21" s="29"/>
      <c r="M21" s="29"/>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30" t="str">
        <f>C21</f>
        <v>Analysis Period (years)</v>
      </c>
      <c r="BG21" s="31">
        <f>IF(F21&lt;&gt;"",F21,E21)</f>
        <v>4</v>
      </c>
      <c r="BH21" s="6"/>
    </row>
    <row r="22" spans="1:60" s="7" customFormat="1" ht="2.25" customHeight="1">
      <c r="A22" s="6"/>
      <c r="B22" s="6"/>
      <c r="C22" s="6"/>
      <c r="D22" s="6"/>
      <c r="E22" s="27"/>
      <c r="F22" s="169"/>
      <c r="G22" s="29"/>
      <c r="H22" s="29"/>
      <c r="I22" s="29"/>
      <c r="J22" s="32"/>
      <c r="K22" s="29"/>
      <c r="L22" s="29"/>
      <c r="M22" s="29"/>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30"/>
      <c r="BG22" s="31"/>
      <c r="BH22" s="6"/>
    </row>
    <row r="23" spans="1:60" s="7" customFormat="1">
      <c r="A23" s="6"/>
      <c r="B23" s="6"/>
      <c r="C23" s="6" t="s">
        <v>15</v>
      </c>
      <c r="D23" s="6"/>
      <c r="E23" s="220">
        <v>1.06E-2</v>
      </c>
      <c r="F23" s="219"/>
      <c r="G23" s="29"/>
      <c r="H23" s="29"/>
      <c r="I23" s="29"/>
      <c r="J23" s="29"/>
      <c r="K23" s="29"/>
      <c r="L23" s="29"/>
      <c r="M23" s="29"/>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30" t="str">
        <f>C23</f>
        <v>Annual VMT Growth</v>
      </c>
      <c r="BG23" s="35">
        <f>IF(F23&lt;&gt;"",F23,E23)</f>
        <v>1.06E-2</v>
      </c>
      <c r="BH23" s="6"/>
    </row>
    <row r="24" spans="1:60" s="7" customFormat="1" ht="2.25" customHeight="1">
      <c r="A24" s="6"/>
      <c r="B24" s="6"/>
      <c r="C24" s="6"/>
      <c r="D24" s="6"/>
      <c r="E24" s="36"/>
      <c r="F24" s="170"/>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30"/>
      <c r="BG24" s="38"/>
      <c r="BH24" s="6"/>
    </row>
    <row r="25" spans="1:60" s="7" customFormat="1">
      <c r="A25" s="6"/>
      <c r="B25" s="6"/>
      <c r="C25" s="6" t="s">
        <v>12</v>
      </c>
      <c r="D25" s="6"/>
      <c r="E25" s="83">
        <f>(6.8*2+1.3*3+0.9*4)/(6.8+1.3+0.9)</f>
        <v>2.3444444444444446</v>
      </c>
      <c r="F25" s="84"/>
      <c r="G25" s="29"/>
      <c r="H25" s="29"/>
      <c r="I25" s="29"/>
      <c r="J25" s="29"/>
      <c r="K25" s="29"/>
      <c r="L25" s="29"/>
      <c r="M25" s="29"/>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30" t="str">
        <f>C25</f>
        <v>Vehicle Occupancy, Carpools</v>
      </c>
      <c r="BG25" s="43">
        <f>IF(F25&lt;&gt;"",F25,E25)</f>
        <v>2.3444444444444446</v>
      </c>
      <c r="BH25" s="6"/>
    </row>
    <row r="26" spans="1:60" s="7" customFormat="1" ht="2.25" customHeight="1">
      <c r="A26" s="6"/>
      <c r="B26" s="6"/>
      <c r="C26" s="6"/>
      <c r="D26" s="6"/>
      <c r="E26" s="40"/>
      <c r="F26" s="171"/>
      <c r="G26" s="29"/>
      <c r="H26" s="29"/>
      <c r="I26" s="29"/>
      <c r="J26" s="29"/>
      <c r="K26" s="29"/>
      <c r="L26" s="29"/>
      <c r="M26" s="29"/>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30"/>
      <c r="BG26" s="43"/>
      <c r="BH26" s="6"/>
    </row>
    <row r="27" spans="1:60" s="7" customFormat="1">
      <c r="A27" s="6"/>
      <c r="B27" s="6"/>
      <c r="C27" s="6" t="s">
        <v>18</v>
      </c>
      <c r="D27" s="6"/>
      <c r="E27" s="33">
        <v>8.1</v>
      </c>
      <c r="F27" s="44"/>
      <c r="G27" s="29"/>
      <c r="H27" s="29"/>
      <c r="I27" s="29"/>
      <c r="J27" s="29"/>
      <c r="K27" s="29"/>
      <c r="L27" s="29"/>
      <c r="M27" s="29"/>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30" t="str">
        <f>C27</f>
        <v>Gasoline CO2 Content (kg/gallon)</v>
      </c>
      <c r="BG27" s="45">
        <f>IF(F27&lt;&gt;"",F27,E27)</f>
        <v>8.1</v>
      </c>
      <c r="BH27" s="6"/>
    </row>
    <row r="28" spans="1:60" s="7" customFormat="1" ht="2.25" customHeight="1">
      <c r="A28" s="6"/>
      <c r="B28" s="6"/>
      <c r="C28" s="6"/>
      <c r="D28" s="6"/>
      <c r="E28" s="33"/>
      <c r="F28" s="172"/>
      <c r="G28" s="29"/>
      <c r="H28" s="29"/>
      <c r="I28" s="29"/>
      <c r="J28" s="29"/>
      <c r="K28" s="29"/>
      <c r="L28" s="29"/>
      <c r="M28" s="29"/>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30"/>
      <c r="BG28" s="45"/>
      <c r="BH28" s="6"/>
    </row>
    <row r="29" spans="1:60" s="7" customFormat="1">
      <c r="A29" s="6"/>
      <c r="B29" s="6"/>
      <c r="C29" s="6" t="s">
        <v>28</v>
      </c>
      <c r="D29" s="6"/>
      <c r="E29" s="33">
        <v>10.19</v>
      </c>
      <c r="F29" s="46"/>
      <c r="G29" s="29"/>
      <c r="H29" s="29"/>
      <c r="I29" s="29"/>
      <c r="J29" s="29"/>
      <c r="K29" s="29"/>
      <c r="L29" s="29"/>
      <c r="M29" s="29"/>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30" t="str">
        <f>C29</f>
        <v>Special Fuels CO2 Content (kg/gallon)</v>
      </c>
      <c r="BG29" s="35">
        <f>IF(F29&lt;&gt;"",F29,E29)</f>
        <v>10.19</v>
      </c>
      <c r="BH29" s="6"/>
    </row>
    <row r="30" spans="1:60" s="7" customFormat="1" ht="2.25" customHeight="1">
      <c r="A30" s="6"/>
      <c r="B30" s="6"/>
      <c r="C30" s="6"/>
      <c r="D30" s="6"/>
      <c r="E30" s="34"/>
      <c r="F30" s="172"/>
      <c r="G30" s="29"/>
      <c r="H30" s="29"/>
      <c r="I30" s="29"/>
      <c r="J30" s="29"/>
      <c r="K30" s="29"/>
      <c r="L30" s="29"/>
      <c r="M30" s="29"/>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30"/>
      <c r="BG30" s="35"/>
      <c r="BH30" s="6"/>
    </row>
    <row r="31" spans="1:60" s="7" customFormat="1">
      <c r="A31" s="6"/>
      <c r="B31" s="6"/>
      <c r="C31" s="6" t="s">
        <v>32</v>
      </c>
      <c r="D31" s="6"/>
      <c r="E31" s="62">
        <f>(2254309+669744)/3261772</f>
        <v>0.89646149393642471</v>
      </c>
      <c r="F31" s="85"/>
      <c r="G31" s="29"/>
      <c r="H31" s="29"/>
      <c r="I31" s="29"/>
      <c r="J31" s="29"/>
      <c r="K31" s="29"/>
      <c r="L31" s="29"/>
      <c r="M31" s="29"/>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30" t="str">
        <f>C31</f>
        <v>Percent of VMT, Autos</v>
      </c>
      <c r="BG31" s="35">
        <f>IF(F31&lt;&gt;"",F31,E31)</f>
        <v>0.89646149393642471</v>
      </c>
      <c r="BH31" s="6"/>
    </row>
    <row r="32" spans="1:60" s="7" customFormat="1" ht="2.25" customHeight="1">
      <c r="A32" s="6"/>
      <c r="B32" s="6"/>
      <c r="C32" s="6"/>
      <c r="D32" s="6"/>
      <c r="E32" s="86"/>
      <c r="F32" s="173"/>
      <c r="G32" s="29"/>
      <c r="H32" s="29"/>
      <c r="I32" s="29"/>
      <c r="J32" s="29"/>
      <c r="K32" s="29"/>
      <c r="L32" s="29"/>
      <c r="M32" s="29"/>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30"/>
      <c r="BG32" s="37"/>
      <c r="BH32" s="6"/>
    </row>
    <row r="33" spans="1:60" s="7" customFormat="1">
      <c r="A33" s="6"/>
      <c r="B33" s="6"/>
      <c r="C33" s="6" t="s">
        <v>153</v>
      </c>
      <c r="D33" s="6"/>
      <c r="E33" s="62">
        <f>(17980+124746)/3261772</f>
        <v>4.3757197008251959E-2</v>
      </c>
      <c r="F33" s="85"/>
      <c r="G33" s="29"/>
      <c r="H33" s="29"/>
      <c r="I33" s="29"/>
      <c r="J33" s="29"/>
      <c r="K33" s="29"/>
      <c r="L33" s="29"/>
      <c r="M33" s="29"/>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30" t="str">
        <f>C33</f>
        <v>Percent of VMT, Single Unit Trucks and Buses</v>
      </c>
      <c r="BG33" s="35">
        <f>IF(F33&lt;&gt;"",F33,E33)</f>
        <v>4.3757197008251959E-2</v>
      </c>
      <c r="BH33" s="6"/>
    </row>
    <row r="34" spans="1:60" s="7" customFormat="1" ht="2.25" customHeight="1">
      <c r="A34" s="6"/>
      <c r="B34" s="6"/>
      <c r="C34" s="6"/>
      <c r="D34" s="6"/>
      <c r="E34" s="86"/>
      <c r="F34" s="173"/>
      <c r="G34" s="29"/>
      <c r="H34" s="29"/>
      <c r="I34" s="29"/>
      <c r="J34" s="29"/>
      <c r="K34" s="29"/>
      <c r="L34" s="29"/>
      <c r="M34" s="29"/>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30"/>
      <c r="BG34" s="37"/>
      <c r="BH34" s="6"/>
    </row>
    <row r="35" spans="1:60" s="7" customFormat="1">
      <c r="A35" s="6"/>
      <c r="B35" s="6"/>
      <c r="C35" s="6" t="s">
        <v>39</v>
      </c>
      <c r="D35" s="6"/>
      <c r="E35" s="62">
        <f>175305/3261772</f>
        <v>5.3745326160136268E-2</v>
      </c>
      <c r="F35" s="85"/>
      <c r="G35" s="29"/>
      <c r="H35" s="29"/>
      <c r="I35" s="29"/>
      <c r="J35" s="29"/>
      <c r="K35" s="29"/>
      <c r="L35" s="29"/>
      <c r="M35" s="29"/>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30" t="str">
        <f>C35</f>
        <v>Percent of VMT, Combo Trucks</v>
      </c>
      <c r="BG35" s="35">
        <f>IF(F35&lt;&gt;"",F35,E35)</f>
        <v>5.3745326160136268E-2</v>
      </c>
      <c r="BH35" s="6"/>
    </row>
    <row r="36" spans="1:60" s="7" customFormat="1" ht="2.25" customHeight="1">
      <c r="A36" s="6"/>
      <c r="B36" s="6"/>
      <c r="C36" s="6"/>
      <c r="D36" s="6"/>
      <c r="E36" s="86"/>
      <c r="F36" s="173"/>
      <c r="G36" s="29"/>
      <c r="H36" s="29"/>
      <c r="I36" s="29"/>
      <c r="J36" s="29"/>
      <c r="K36" s="29"/>
      <c r="L36" s="29"/>
      <c r="M36" s="29"/>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30"/>
      <c r="BG36" s="37"/>
      <c r="BH36" s="6"/>
    </row>
    <row r="37" spans="1:60" s="7" customFormat="1">
      <c r="A37" s="6"/>
      <c r="B37" s="6"/>
      <c r="C37" s="6" t="s">
        <v>33</v>
      </c>
      <c r="D37" s="6"/>
      <c r="E37" s="62">
        <f>1-E31-E33-E35</f>
        <v>6.0359828951870587E-3</v>
      </c>
      <c r="F37" s="85"/>
      <c r="G37" s="29"/>
      <c r="H37" s="29"/>
      <c r="I37" s="29"/>
      <c r="J37" s="29"/>
      <c r="K37" s="29"/>
      <c r="L37" s="29"/>
      <c r="M37" s="29"/>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30" t="str">
        <f>C37</f>
        <v>Percent of VMT, Motorcycles</v>
      </c>
      <c r="BG37" s="35">
        <f>IF(F37&lt;&gt;"",F37,E37)</f>
        <v>6.0359828951870587E-3</v>
      </c>
      <c r="BH37" s="6"/>
    </row>
    <row r="38" spans="1:60" s="7" customFormat="1" ht="2.25" customHeight="1">
      <c r="A38" s="6"/>
      <c r="B38" s="6"/>
      <c r="C38" s="6"/>
      <c r="D38" s="6"/>
      <c r="E38" s="86"/>
      <c r="F38" s="173"/>
      <c r="G38" s="29"/>
      <c r="H38" s="29"/>
      <c r="I38" s="29"/>
      <c r="J38" s="29"/>
      <c r="K38" s="29"/>
      <c r="L38" s="29"/>
      <c r="M38" s="29"/>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30"/>
      <c r="BG38" s="37"/>
      <c r="BH38" s="6"/>
    </row>
    <row r="39" spans="1:60" s="7" customFormat="1">
      <c r="A39" s="6"/>
      <c r="B39" s="6"/>
      <c r="C39" s="6" t="s">
        <v>154</v>
      </c>
      <c r="D39" s="6"/>
      <c r="E39" s="62">
        <f>6256/33004</f>
        <v>0.18955278148103261</v>
      </c>
      <c r="F39" s="85"/>
      <c r="G39" s="29"/>
      <c r="H39" s="29"/>
      <c r="I39" s="29"/>
      <c r="J39" s="29"/>
      <c r="K39" s="29"/>
      <c r="L39" s="29"/>
      <c r="M39" s="29"/>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30" t="str">
        <f>C39</f>
        <v>Percent of Auto VMT for Work Trips</v>
      </c>
      <c r="BG39" s="35">
        <f>IF(F39&lt;&gt;"",F39,E39)</f>
        <v>0.18955278148103261</v>
      </c>
      <c r="BH39" s="6"/>
    </row>
    <row r="40" spans="1:60" s="7" customForma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47"/>
      <c r="BH40" s="6"/>
    </row>
    <row r="41" spans="1:60" s="7" customFormat="1" ht="17" thickBot="1">
      <c r="A41" s="6"/>
      <c r="B41" s="6"/>
      <c r="C41" s="17" t="s">
        <v>107</v>
      </c>
      <c r="D41" s="1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17" t="s">
        <v>46</v>
      </c>
      <c r="BG41" s="6"/>
      <c r="BH41" s="6"/>
    </row>
    <row r="42" spans="1:60" s="7" customFormat="1">
      <c r="A42" s="6"/>
      <c r="B42" s="6"/>
      <c r="C42" s="48"/>
      <c r="D42" s="49"/>
      <c r="E42" s="104"/>
      <c r="F42" s="50"/>
      <c r="G42" s="51"/>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22" t="s">
        <v>20</v>
      </c>
      <c r="BG42" s="23" t="s">
        <v>14</v>
      </c>
      <c r="BH42" s="6"/>
    </row>
    <row r="43" spans="1:60" s="7" customFormat="1">
      <c r="A43" s="6"/>
      <c r="B43" s="6"/>
      <c r="C43" s="52" t="s">
        <v>20</v>
      </c>
      <c r="D43" s="21"/>
      <c r="E43" s="105" t="s">
        <v>41</v>
      </c>
      <c r="F43" s="53" t="s">
        <v>9</v>
      </c>
      <c r="G43" s="54" t="s">
        <v>31</v>
      </c>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30" t="s">
        <v>47</v>
      </c>
      <c r="BG43" s="55" t="e">
        <f>IF(#REF!="",1,MATCH(#REF!,#REF!,0))</f>
        <v>#REF!</v>
      </c>
      <c r="BH43" s="6"/>
    </row>
    <row r="44" spans="1:60" s="7" customFormat="1">
      <c r="A44" s="6"/>
      <c r="B44" s="6"/>
      <c r="C44" s="30" t="s">
        <v>109</v>
      </c>
      <c r="D44" s="6"/>
      <c r="E44" s="106">
        <f>VLOOKUP($F$8,$C$62:$J$112,7)</f>
        <v>0.85730000000000006</v>
      </c>
      <c r="F44" s="64"/>
      <c r="G44" s="65"/>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30" t="s">
        <v>48</v>
      </c>
      <c r="BG44" s="56">
        <f>IF(F44=0,0,F45/F44)</f>
        <v>0</v>
      </c>
      <c r="BH44" s="6"/>
    </row>
    <row r="45" spans="1:60" s="7" customFormat="1" ht="17" thickBot="1">
      <c r="A45" s="6"/>
      <c r="B45" s="6"/>
      <c r="C45" s="63" t="s">
        <v>110</v>
      </c>
      <c r="D45" s="58"/>
      <c r="E45" s="107">
        <f>VLOOKUP($F$8,$C$62:$J$112,8)</f>
        <v>8.8000000000000009E-2</v>
      </c>
      <c r="F45" s="66"/>
      <c r="G45" s="67"/>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39" t="s">
        <v>49</v>
      </c>
      <c r="BG45" s="57">
        <f>IF(G44=0,0,G45/G44)</f>
        <v>0</v>
      </c>
      <c r="BH45" s="6"/>
    </row>
    <row r="46" spans="1:60" s="7" customForma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47"/>
      <c r="BH46" s="6"/>
    </row>
    <row r="47" spans="1:60" s="7" customFormat="1" ht="17" thickBot="1">
      <c r="A47" s="6"/>
      <c r="B47" s="6"/>
      <c r="C47" s="17" t="s">
        <v>114</v>
      </c>
      <c r="D47" s="17"/>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47"/>
      <c r="BH47" s="6"/>
    </row>
    <row r="48" spans="1:60" s="7" customFormat="1">
      <c r="A48" s="6"/>
      <c r="B48" s="6"/>
      <c r="C48" s="48"/>
      <c r="D48" s="49"/>
      <c r="E48" s="50" t="s">
        <v>41</v>
      </c>
      <c r="F48" s="41"/>
      <c r="G48" s="41"/>
      <c r="H48" s="41"/>
      <c r="I48" s="50" t="s">
        <v>9</v>
      </c>
      <c r="J48" s="49"/>
      <c r="K48" s="49"/>
      <c r="L48" s="49"/>
      <c r="M48" s="50" t="s">
        <v>31</v>
      </c>
      <c r="N48" s="49"/>
      <c r="O48" s="49"/>
      <c r="P48" s="51"/>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47"/>
      <c r="BH48" s="6"/>
    </row>
    <row r="49" spans="1:60" s="7" customFormat="1">
      <c r="A49" s="6"/>
      <c r="B49" s="6"/>
      <c r="C49" s="52" t="s">
        <v>20</v>
      </c>
      <c r="D49" s="21"/>
      <c r="E49" s="87" t="s">
        <v>115</v>
      </c>
      <c r="F49" s="18" t="s">
        <v>151</v>
      </c>
      <c r="G49" s="18" t="s">
        <v>117</v>
      </c>
      <c r="H49" s="18" t="s">
        <v>36</v>
      </c>
      <c r="I49" s="87" t="s">
        <v>115</v>
      </c>
      <c r="J49" s="18" t="s">
        <v>116</v>
      </c>
      <c r="K49" s="18" t="s">
        <v>117</v>
      </c>
      <c r="L49" s="18" t="s">
        <v>36</v>
      </c>
      <c r="M49" s="87" t="s">
        <v>115</v>
      </c>
      <c r="N49" s="18" t="s">
        <v>116</v>
      </c>
      <c r="O49" s="18" t="s">
        <v>117</v>
      </c>
      <c r="P49" s="88" t="s">
        <v>36</v>
      </c>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47"/>
      <c r="BH49" s="6"/>
    </row>
    <row r="50" spans="1:60" s="7" customFormat="1">
      <c r="A50" s="6"/>
      <c r="B50" s="6"/>
      <c r="C50" s="30" t="s">
        <v>125</v>
      </c>
      <c r="D50" s="6"/>
      <c r="E50" s="101">
        <f>22.6/(1-E51)</f>
        <v>22.828282828282831</v>
      </c>
      <c r="F50" s="89">
        <f>7.5/(1-F51)</f>
        <v>7.5</v>
      </c>
      <c r="G50" s="89">
        <f>6/(1-G51)</f>
        <v>6</v>
      </c>
      <c r="H50" s="89">
        <f>44/(1-H51)</f>
        <v>44</v>
      </c>
      <c r="I50" s="92"/>
      <c r="J50" s="93"/>
      <c r="K50" s="93"/>
      <c r="L50" s="93"/>
      <c r="M50" s="92"/>
      <c r="N50" s="93"/>
      <c r="O50" s="93"/>
      <c r="P50" s="94"/>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47"/>
      <c r="BH50" s="6"/>
    </row>
    <row r="51" spans="1:60" s="7" customFormat="1">
      <c r="A51" s="6"/>
      <c r="B51" s="6"/>
      <c r="C51" s="30" t="s">
        <v>112</v>
      </c>
      <c r="D51" s="6"/>
      <c r="E51" s="102">
        <v>0.01</v>
      </c>
      <c r="F51" s="90">
        <v>0</v>
      </c>
      <c r="G51" s="90">
        <v>0</v>
      </c>
      <c r="H51" s="90">
        <v>0</v>
      </c>
      <c r="I51" s="95"/>
      <c r="J51" s="96"/>
      <c r="K51" s="96"/>
      <c r="L51" s="96"/>
      <c r="M51" s="95"/>
      <c r="N51" s="96"/>
      <c r="O51" s="96"/>
      <c r="P51" s="97"/>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47"/>
      <c r="BH51" s="6"/>
    </row>
    <row r="52" spans="1:60" s="7" customFormat="1" ht="17" thickBot="1">
      <c r="A52" s="6"/>
      <c r="B52" s="6"/>
      <c r="C52" s="63" t="s">
        <v>113</v>
      </c>
      <c r="D52" s="58"/>
      <c r="E52" s="103">
        <f>95/97</f>
        <v>0.97938144329896903</v>
      </c>
      <c r="F52" s="91">
        <f>(11316+4139+5135)/(11316+4139+5135+17456+19368+17083)</f>
        <v>0.27638696860276252</v>
      </c>
      <c r="G52" s="91">
        <f>(2871+7306)/(27020+41314+2871+7306)</f>
        <v>0.12962514806842354</v>
      </c>
      <c r="H52" s="91">
        <v>1</v>
      </c>
      <c r="I52" s="98"/>
      <c r="J52" s="99"/>
      <c r="K52" s="99"/>
      <c r="L52" s="99"/>
      <c r="M52" s="98"/>
      <c r="N52" s="99"/>
      <c r="O52" s="99"/>
      <c r="P52" s="100"/>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47"/>
      <c r="BH52" s="6"/>
    </row>
    <row r="53" spans="1:60" s="7" customForma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47"/>
      <c r="BH53" s="6"/>
    </row>
    <row r="54" spans="1:60" s="7" customFormat="1" ht="17" thickBot="1">
      <c r="A54" s="6"/>
      <c r="B54" s="6"/>
      <c r="C54" s="108" t="s">
        <v>120</v>
      </c>
      <c r="D54" s="108"/>
      <c r="E54" s="109"/>
      <c r="F54" s="109"/>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47"/>
      <c r="BH54" s="6"/>
    </row>
    <row r="55" spans="1:60" s="7" customFormat="1">
      <c r="A55" s="6"/>
      <c r="B55" s="6"/>
      <c r="C55" s="125" t="s">
        <v>20</v>
      </c>
      <c r="D55" s="126"/>
      <c r="E55" s="127" t="s">
        <v>9</v>
      </c>
      <c r="F55" s="128" t="s">
        <v>31</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47"/>
      <c r="BH55" s="6"/>
    </row>
    <row r="56" spans="1:60" s="7" customFormat="1">
      <c r="A56" s="6"/>
      <c r="B56" s="6"/>
      <c r="C56" s="118" t="s">
        <v>122</v>
      </c>
      <c r="D56" s="109"/>
      <c r="E56" s="119">
        <f>SUM(E160:E161)</f>
        <v>30451340.339999996</v>
      </c>
      <c r="F56" s="120">
        <f>SUM(F160:F161)</f>
        <v>31763151.702595025</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47"/>
      <c r="BH56" s="6"/>
    </row>
    <row r="57" spans="1:60" s="7" customFormat="1" ht="17" thickBot="1">
      <c r="A57" s="6"/>
      <c r="B57" s="6"/>
      <c r="C57" s="121" t="s">
        <v>132</v>
      </c>
      <c r="D57" s="122"/>
      <c r="E57" s="123">
        <f>E56*$E$118/$E$117</f>
        <v>13399480.24386725</v>
      </c>
      <c r="F57" s="124">
        <f>F56*$E$118/$E$117</f>
        <v>13976715.604955224</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47"/>
      <c r="BH57" s="6"/>
    </row>
    <row r="58" spans="1:60" s="7" customForma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47"/>
      <c r="BH58" s="6"/>
    </row>
    <row r="59" spans="1:60" s="7" customFormat="1" ht="17" hidden="1" thickBot="1">
      <c r="A59" s="6"/>
      <c r="B59" s="6"/>
      <c r="C59" s="17" t="s">
        <v>111</v>
      </c>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row>
    <row r="60" spans="1:60" s="7" customFormat="1" hidden="1">
      <c r="A60" s="6"/>
      <c r="B60" s="6"/>
      <c r="C60" s="68"/>
      <c r="D60" s="41"/>
      <c r="E60" s="213" t="s">
        <v>149</v>
      </c>
      <c r="F60" s="70"/>
      <c r="G60" s="69"/>
      <c r="H60" s="69"/>
      <c r="I60" s="50" t="s">
        <v>150</v>
      </c>
      <c r="J60" s="214"/>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row>
    <row r="61" spans="1:60" s="7" customFormat="1" ht="34" hidden="1">
      <c r="A61" s="6"/>
      <c r="B61" s="6"/>
      <c r="C61" s="52" t="s">
        <v>51</v>
      </c>
      <c r="D61" s="21"/>
      <c r="E61" s="80" t="s">
        <v>155</v>
      </c>
      <c r="F61" s="215" t="s">
        <v>156</v>
      </c>
      <c r="G61" s="215" t="s">
        <v>16</v>
      </c>
      <c r="H61" s="215" t="s">
        <v>17</v>
      </c>
      <c r="I61" s="80" t="s">
        <v>103</v>
      </c>
      <c r="J61" s="71" t="s">
        <v>7</v>
      </c>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row>
    <row r="62" spans="1:60" s="7" customFormat="1" hidden="1">
      <c r="A62" s="6"/>
      <c r="B62" s="6"/>
      <c r="C62" s="30" t="s">
        <v>52</v>
      </c>
      <c r="D62" s="6"/>
      <c r="E62" s="78">
        <v>71734.627819999994</v>
      </c>
      <c r="F62" s="72">
        <v>31565.333989999999</v>
      </c>
      <c r="G62" s="72">
        <v>2659652</v>
      </c>
      <c r="H62" s="73">
        <v>874206</v>
      </c>
      <c r="I62" s="81">
        <v>0.85730000000000006</v>
      </c>
      <c r="J62" s="74">
        <v>8.8000000000000009E-2</v>
      </c>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row>
    <row r="63" spans="1:60" s="7" customFormat="1" hidden="1">
      <c r="A63" s="6"/>
      <c r="B63" s="6"/>
      <c r="C63" s="30" t="s">
        <v>53</v>
      </c>
      <c r="D63" s="6"/>
      <c r="E63" s="78">
        <v>5881.3031400000009</v>
      </c>
      <c r="F63" s="72">
        <v>2954.8905800000002</v>
      </c>
      <c r="G63" s="72">
        <v>242562</v>
      </c>
      <c r="H63" s="73">
        <v>126670</v>
      </c>
      <c r="I63" s="81">
        <v>0.68129999999999991</v>
      </c>
      <c r="J63" s="74">
        <v>0.1278</v>
      </c>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row>
    <row r="64" spans="1:60" s="7" customFormat="1" hidden="1">
      <c r="A64" s="6"/>
      <c r="B64" s="6"/>
      <c r="C64" s="30" t="s">
        <v>54</v>
      </c>
      <c r="D64" s="6"/>
      <c r="E64" s="78">
        <v>70280.646479999996</v>
      </c>
      <c r="F64" s="72">
        <v>32974.600129999999</v>
      </c>
      <c r="G64" s="72">
        <v>2831627</v>
      </c>
      <c r="H64" s="73">
        <v>946619</v>
      </c>
      <c r="I64" s="81">
        <v>0.76670000000000005</v>
      </c>
      <c r="J64" s="74">
        <v>0.10949999999999999</v>
      </c>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row>
    <row r="65" spans="1:60" s="7" customFormat="1" hidden="1">
      <c r="A65" s="6"/>
      <c r="B65" s="6"/>
      <c r="C65" s="30" t="s">
        <v>55</v>
      </c>
      <c r="D65" s="6"/>
      <c r="E65" s="78">
        <v>37099.019809999998</v>
      </c>
      <c r="F65" s="72">
        <v>18351.23977</v>
      </c>
      <c r="G65" s="72">
        <v>1431471</v>
      </c>
      <c r="H65" s="73">
        <v>680318</v>
      </c>
      <c r="I65" s="81">
        <v>0.82689999999999997</v>
      </c>
      <c r="J65" s="74">
        <v>0.1082</v>
      </c>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row>
    <row r="66" spans="1:60" s="7" customFormat="1" hidden="1">
      <c r="A66" s="6"/>
      <c r="B66" s="6"/>
      <c r="C66" s="30" t="s">
        <v>56</v>
      </c>
      <c r="D66" s="6"/>
      <c r="E66" s="78">
        <v>340836.25153000001</v>
      </c>
      <c r="F66" s="72">
        <v>222357.21186000001</v>
      </c>
      <c r="G66" s="72">
        <v>14432583</v>
      </c>
      <c r="H66" s="73">
        <v>3502324</v>
      </c>
      <c r="I66" s="81">
        <v>0.7349</v>
      </c>
      <c r="J66" s="74">
        <v>0.1069</v>
      </c>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row>
    <row r="67" spans="1:60" s="7" customFormat="1" hidden="1">
      <c r="A67" s="6"/>
      <c r="B67" s="6"/>
      <c r="C67" s="30" t="s">
        <v>57</v>
      </c>
      <c r="D67" s="6"/>
      <c r="E67" s="78">
        <v>54633.554510000002</v>
      </c>
      <c r="F67" s="72">
        <v>34771.238550000002</v>
      </c>
      <c r="G67" s="72">
        <v>2270649</v>
      </c>
      <c r="H67" s="73">
        <v>681901</v>
      </c>
      <c r="I67" s="81">
        <v>0.75219999999999998</v>
      </c>
      <c r="J67" s="74">
        <v>9.3299999999999994E-2</v>
      </c>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row>
    <row r="68" spans="1:60" s="7" customFormat="1" hidden="1">
      <c r="A68" s="6"/>
      <c r="B68" s="6"/>
      <c r="C68" s="30" t="s">
        <v>58</v>
      </c>
      <c r="D68" s="6"/>
      <c r="E68" s="78">
        <v>31600.848359999996</v>
      </c>
      <c r="F68" s="72">
        <v>19178.280049999998</v>
      </c>
      <c r="G68" s="72">
        <v>1437444</v>
      </c>
      <c r="H68" s="73">
        <v>286501</v>
      </c>
      <c r="I68" s="81">
        <v>0.78310000000000002</v>
      </c>
      <c r="J68" s="74">
        <v>8.2200000000000009E-2</v>
      </c>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row>
    <row r="69" spans="1:60" s="7" customFormat="1" hidden="1">
      <c r="A69" s="6"/>
      <c r="B69" s="6"/>
      <c r="C69" s="30" t="s">
        <v>59</v>
      </c>
      <c r="D69" s="6"/>
      <c r="E69" s="78">
        <v>10245.15892</v>
      </c>
      <c r="F69" s="72">
        <v>5702.4950499999995</v>
      </c>
      <c r="G69" s="72">
        <v>522552</v>
      </c>
      <c r="H69" s="73">
        <v>84114</v>
      </c>
      <c r="I69" s="81">
        <v>0.81319999999999992</v>
      </c>
      <c r="J69" s="74">
        <v>8.2100000000000006E-2</v>
      </c>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row>
    <row r="70" spans="1:60" s="7" customFormat="1" hidden="1">
      <c r="A70" s="6"/>
      <c r="B70" s="6"/>
      <c r="C70" s="30" t="s">
        <v>60</v>
      </c>
      <c r="D70" s="6"/>
      <c r="E70" s="78">
        <v>3756.0697499999997</v>
      </c>
      <c r="F70" s="72">
        <v>1964.5478599999999</v>
      </c>
      <c r="G70" s="72">
        <v>113256</v>
      </c>
      <c r="H70" s="73">
        <v>16539</v>
      </c>
      <c r="I70" s="81">
        <v>0.33700000000000002</v>
      </c>
      <c r="J70" s="74">
        <v>5.9800000000000006E-2</v>
      </c>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row>
    <row r="71" spans="1:60" s="7" customFormat="1" hidden="1">
      <c r="A71" s="6"/>
      <c r="B71" s="6"/>
      <c r="C71" s="30" t="s">
        <v>61</v>
      </c>
      <c r="D71" s="6"/>
      <c r="E71" s="78">
        <v>226514.41612000001</v>
      </c>
      <c r="F71" s="72">
        <v>115984.44321</v>
      </c>
      <c r="G71" s="72">
        <v>8586669</v>
      </c>
      <c r="H71" s="73">
        <v>1781089</v>
      </c>
      <c r="I71" s="81">
        <v>0.79480000000000006</v>
      </c>
      <c r="J71" s="74">
        <v>9.4200000000000006E-2</v>
      </c>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row>
    <row r="72" spans="1:60" s="7" customFormat="1" hidden="1">
      <c r="A72" s="6"/>
      <c r="B72" s="6"/>
      <c r="C72" s="30" t="s">
        <v>62</v>
      </c>
      <c r="D72" s="6"/>
      <c r="E72" s="78">
        <v>133127.65823</v>
      </c>
      <c r="F72" s="72">
        <v>63590.43636</v>
      </c>
      <c r="G72" s="72">
        <v>4743377</v>
      </c>
      <c r="H72" s="73">
        <v>1342455</v>
      </c>
      <c r="I72" s="81">
        <v>0.79579999999999995</v>
      </c>
      <c r="J72" s="74">
        <v>0.10310000000000001</v>
      </c>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row>
    <row r="73" spans="1:60" s="7" customFormat="1" hidden="1">
      <c r="A73" s="6"/>
      <c r="B73" s="6"/>
      <c r="C73" s="30" t="s">
        <v>63</v>
      </c>
      <c r="D73" s="6"/>
      <c r="E73" s="78">
        <v>11024.0049</v>
      </c>
      <c r="F73" s="72">
        <v>5117.0560800000003</v>
      </c>
      <c r="G73" s="72">
        <v>436711</v>
      </c>
      <c r="H73" s="73">
        <v>48952</v>
      </c>
      <c r="I73" s="81">
        <v>0.66590000000000005</v>
      </c>
      <c r="J73" s="74">
        <v>0.14169999999999999</v>
      </c>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row>
    <row r="74" spans="1:60" s="7" customFormat="1" hidden="1">
      <c r="A74" s="6"/>
      <c r="B74" s="6"/>
      <c r="C74" s="30" t="s">
        <v>64</v>
      </c>
      <c r="D74" s="6"/>
      <c r="E74" s="78">
        <v>18057.66158</v>
      </c>
      <c r="F74" s="72">
        <v>9183.3645799999995</v>
      </c>
      <c r="G74" s="72">
        <v>734046</v>
      </c>
      <c r="H74" s="73">
        <v>327007</v>
      </c>
      <c r="I74" s="81">
        <v>0.78299999999999992</v>
      </c>
      <c r="J74" s="74">
        <v>9.9900000000000003E-2</v>
      </c>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row>
    <row r="75" spans="1:60" s="7" customFormat="1" hidden="1">
      <c r="A75" s="6"/>
      <c r="B75" s="6"/>
      <c r="C75" s="30" t="s">
        <v>65</v>
      </c>
      <c r="D75" s="6"/>
      <c r="E75" s="78">
        <v>107524.64446</v>
      </c>
      <c r="F75" s="72">
        <v>59800.257659999996</v>
      </c>
      <c r="G75" s="72">
        <v>4454984</v>
      </c>
      <c r="H75" s="73">
        <v>1521395</v>
      </c>
      <c r="I75" s="81">
        <v>0.7340000000000001</v>
      </c>
      <c r="J75" s="74">
        <v>8.4499999999999992E-2</v>
      </c>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row>
    <row r="76" spans="1:60" s="7" customFormat="1" hidden="1">
      <c r="A76" s="6"/>
      <c r="B76" s="6"/>
      <c r="C76" s="30" t="s">
        <v>66</v>
      </c>
      <c r="D76" s="6"/>
      <c r="E76" s="78">
        <v>82719.123000000007</v>
      </c>
      <c r="F76" s="72">
        <v>29932.025870000001</v>
      </c>
      <c r="G76" s="72">
        <v>2934667</v>
      </c>
      <c r="H76" s="73">
        <v>1254793</v>
      </c>
      <c r="I76" s="81">
        <v>0.82989999999999997</v>
      </c>
      <c r="J76" s="74">
        <v>8.9900000000000008E-2</v>
      </c>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row>
    <row r="77" spans="1:60" s="7" customFormat="1" hidden="1">
      <c r="A77" s="6"/>
      <c r="B77" s="6"/>
      <c r="C77" s="30" t="s">
        <v>67</v>
      </c>
      <c r="D77" s="6"/>
      <c r="E77" s="78">
        <v>33537.019039999999</v>
      </c>
      <c r="F77" s="72">
        <v>18866.44628</v>
      </c>
      <c r="G77" s="72">
        <v>1486910</v>
      </c>
      <c r="H77" s="73">
        <v>735232</v>
      </c>
      <c r="I77" s="81">
        <v>0.80680000000000007</v>
      </c>
      <c r="J77" s="74">
        <v>8.72E-2</v>
      </c>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row>
    <row r="78" spans="1:60" s="7" customFormat="1" hidden="1">
      <c r="A78" s="6"/>
      <c r="B78" s="6"/>
      <c r="C78" s="30" t="s">
        <v>68</v>
      </c>
      <c r="D78" s="6"/>
      <c r="E78" s="78">
        <v>31842.519930000002</v>
      </c>
      <c r="F78" s="72">
        <v>15699.55744</v>
      </c>
      <c r="G78" s="72">
        <v>1284250</v>
      </c>
      <c r="H78" s="73">
        <v>502670</v>
      </c>
      <c r="I78" s="81">
        <v>0.82250000000000001</v>
      </c>
      <c r="J78" s="74">
        <v>9.3599999999999989E-2</v>
      </c>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row>
    <row r="79" spans="1:60" s="7" customFormat="1" hidden="1">
      <c r="A79" s="6"/>
      <c r="B79" s="6"/>
      <c r="C79" s="30" t="s">
        <v>69</v>
      </c>
      <c r="D79" s="6"/>
      <c r="E79" s="78">
        <v>49410.331810000003</v>
      </c>
      <c r="F79" s="72">
        <v>25952.38366</v>
      </c>
      <c r="G79" s="72">
        <v>2146204</v>
      </c>
      <c r="H79" s="73">
        <v>811703</v>
      </c>
      <c r="I79" s="81">
        <v>0.82250000000000001</v>
      </c>
      <c r="J79" s="74">
        <v>9.7699999999999995E-2</v>
      </c>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row>
    <row r="80" spans="1:60" s="7" customFormat="1" hidden="1">
      <c r="A80" s="6"/>
      <c r="B80" s="6"/>
      <c r="C80" s="30" t="s">
        <v>70</v>
      </c>
      <c r="D80" s="6"/>
      <c r="E80" s="78">
        <v>51360.303250000004</v>
      </c>
      <c r="F80" s="72">
        <v>27068.689030000001</v>
      </c>
      <c r="G80" s="72">
        <v>2089133</v>
      </c>
      <c r="H80" s="73">
        <v>757322</v>
      </c>
      <c r="I80" s="81">
        <v>0.82599999999999996</v>
      </c>
      <c r="J80" s="74">
        <v>9.7200000000000009E-2</v>
      </c>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row>
    <row r="81" spans="1:60" s="7" customFormat="1" hidden="1">
      <c r="A81" s="6"/>
      <c r="B81" s="6"/>
      <c r="C81" s="30" t="s">
        <v>71</v>
      </c>
      <c r="D81" s="6"/>
      <c r="E81" s="78">
        <v>14871.46816</v>
      </c>
      <c r="F81" s="72">
        <v>6221.3095300000004</v>
      </c>
      <c r="G81" s="72">
        <v>593253</v>
      </c>
      <c r="H81" s="73">
        <v>180116</v>
      </c>
      <c r="I81" s="81">
        <v>0.78159999999999996</v>
      </c>
      <c r="J81" s="74">
        <v>0.10339999999999999</v>
      </c>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row>
    <row r="82" spans="1:60" s="7" customFormat="1" hidden="1">
      <c r="A82" s="6"/>
      <c r="B82" s="6"/>
      <c r="C82" s="30" t="s">
        <v>72</v>
      </c>
      <c r="D82" s="6"/>
      <c r="E82" s="78">
        <v>60215.89374</v>
      </c>
      <c r="F82" s="72">
        <v>38130.81379</v>
      </c>
      <c r="G82" s="72">
        <v>2602302</v>
      </c>
      <c r="H82" s="73">
        <v>550738</v>
      </c>
      <c r="I82" s="81">
        <v>0.73730000000000007</v>
      </c>
      <c r="J82" s="74">
        <v>9.4700000000000006E-2</v>
      </c>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row>
    <row r="83" spans="1:60" s="7" customFormat="1" hidden="1">
      <c r="A83" s="6"/>
      <c r="B83" s="6"/>
      <c r="C83" s="30" t="s">
        <v>73</v>
      </c>
      <c r="D83" s="6"/>
      <c r="E83" s="78">
        <v>64889.78224</v>
      </c>
      <c r="F83" s="72">
        <v>38649.051049999995</v>
      </c>
      <c r="G83" s="72">
        <v>2658600</v>
      </c>
      <c r="H83" s="73">
        <v>452669</v>
      </c>
      <c r="I83" s="81">
        <v>0.71129999999999993</v>
      </c>
      <c r="J83" s="74">
        <v>7.7199999999999991E-2</v>
      </c>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row>
    <row r="84" spans="1:60" s="7" customFormat="1" hidden="1">
      <c r="A84" s="6"/>
      <c r="B84" s="6"/>
      <c r="C84" s="30" t="s">
        <v>74</v>
      </c>
      <c r="D84" s="6"/>
      <c r="E84" s="78">
        <v>102173.71755</v>
      </c>
      <c r="F84" s="72">
        <v>54867.74235</v>
      </c>
      <c r="G84" s="72">
        <v>4381530</v>
      </c>
      <c r="H84" s="73">
        <v>969508</v>
      </c>
      <c r="I84" s="81">
        <v>0.82510000000000006</v>
      </c>
      <c r="J84" s="74">
        <v>8.9200000000000002E-2</v>
      </c>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row>
    <row r="85" spans="1:60" s="7" customFormat="1" hidden="1">
      <c r="A85" s="6"/>
      <c r="B85" s="6"/>
      <c r="C85" s="30" t="s">
        <v>75</v>
      </c>
      <c r="D85" s="6"/>
      <c r="E85" s="78">
        <v>60730.981090000001</v>
      </c>
      <c r="F85" s="72">
        <v>29508.7281</v>
      </c>
      <c r="G85" s="72">
        <v>2411151</v>
      </c>
      <c r="H85" s="73">
        <v>874736</v>
      </c>
      <c r="I85" s="81">
        <v>0.78010000000000002</v>
      </c>
      <c r="J85" s="74">
        <v>8.7300000000000003E-2</v>
      </c>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row>
    <row r="86" spans="1:60" s="7" customFormat="1" hidden="1">
      <c r="A86" s="6"/>
      <c r="B86" s="6"/>
      <c r="C86" s="30" t="s">
        <v>76</v>
      </c>
      <c r="D86" s="6"/>
      <c r="E86" s="78">
        <v>41090.910550000001</v>
      </c>
      <c r="F86" s="72">
        <v>20381.62096</v>
      </c>
      <c r="G86" s="72">
        <v>1668608</v>
      </c>
      <c r="H86" s="73">
        <v>709977</v>
      </c>
      <c r="I86" s="81">
        <v>0.84709999999999996</v>
      </c>
      <c r="J86" s="74">
        <v>9.74E-2</v>
      </c>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row>
    <row r="87" spans="1:60" s="7" customFormat="1" hidden="1">
      <c r="A87" s="6"/>
      <c r="B87" s="6"/>
      <c r="C87" s="30" t="s">
        <v>77</v>
      </c>
      <c r="D87" s="6"/>
      <c r="E87" s="78">
        <v>79168.249890000006</v>
      </c>
      <c r="F87" s="72">
        <v>41151.728109999996</v>
      </c>
      <c r="G87" s="72">
        <v>2993792</v>
      </c>
      <c r="H87" s="73">
        <v>1100304</v>
      </c>
      <c r="I87" s="81">
        <v>0.81640000000000001</v>
      </c>
      <c r="J87" s="74">
        <v>9.1799999999999993E-2</v>
      </c>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row>
    <row r="88" spans="1:60" s="7" customFormat="1" hidden="1">
      <c r="A88" s="6"/>
      <c r="B88" s="6"/>
      <c r="C88" s="30" t="s">
        <v>78</v>
      </c>
      <c r="D88" s="6"/>
      <c r="E88" s="78">
        <v>12891.947529999999</v>
      </c>
      <c r="F88" s="72">
        <v>7008.6697399999994</v>
      </c>
      <c r="G88" s="72">
        <v>485015</v>
      </c>
      <c r="H88" s="73">
        <v>278801</v>
      </c>
      <c r="I88" s="81">
        <v>0.75120000000000009</v>
      </c>
      <c r="J88" s="74">
        <v>0.10249999999999999</v>
      </c>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row>
    <row r="89" spans="1:60" s="7" customFormat="1" hidden="1">
      <c r="A89" s="6"/>
      <c r="B89" s="6"/>
      <c r="C89" s="30" t="s">
        <v>79</v>
      </c>
      <c r="D89" s="6"/>
      <c r="E89" s="78">
        <v>21241.792149999997</v>
      </c>
      <c r="F89" s="72">
        <v>11422.897509999999</v>
      </c>
      <c r="G89" s="72">
        <v>863333</v>
      </c>
      <c r="H89" s="73">
        <v>488471</v>
      </c>
      <c r="I89" s="81">
        <v>0.81409999999999993</v>
      </c>
      <c r="J89" s="74">
        <v>9.4600000000000004E-2</v>
      </c>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row>
    <row r="90" spans="1:60" s="7" customFormat="1" hidden="1">
      <c r="A90" s="6"/>
      <c r="B90" s="6"/>
      <c r="C90" s="30" t="s">
        <v>80</v>
      </c>
      <c r="D90" s="6"/>
      <c r="E90" s="78">
        <v>28793.737440000001</v>
      </c>
      <c r="F90" s="72">
        <v>14052.905869999999</v>
      </c>
      <c r="G90" s="72">
        <v>1157367</v>
      </c>
      <c r="H90" s="73">
        <v>386789</v>
      </c>
      <c r="I90" s="81">
        <v>0.78</v>
      </c>
      <c r="J90" s="74">
        <v>0.1069</v>
      </c>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row>
    <row r="91" spans="1:60" s="7" customFormat="1" hidden="1">
      <c r="A91" s="6"/>
      <c r="B91" s="6"/>
      <c r="C91" s="30" t="s">
        <v>81</v>
      </c>
      <c r="D91" s="6"/>
      <c r="E91" s="78">
        <v>13828.121490000001</v>
      </c>
      <c r="F91" s="72">
        <v>7437.4317599999995</v>
      </c>
      <c r="G91" s="72">
        <v>677217</v>
      </c>
      <c r="H91" s="73">
        <v>102744</v>
      </c>
      <c r="I91" s="81">
        <v>0.81</v>
      </c>
      <c r="J91" s="74">
        <v>7.9299999999999995E-2</v>
      </c>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row>
    <row r="92" spans="1:60" s="7" customFormat="1" hidden="1">
      <c r="A92" s="6"/>
      <c r="B92" s="6"/>
      <c r="C92" s="30" t="s">
        <v>82</v>
      </c>
      <c r="D92" s="6"/>
      <c r="E92" s="78">
        <v>78205.297189999997</v>
      </c>
      <c r="F92" s="72">
        <v>47910.356540000001</v>
      </c>
      <c r="G92" s="72">
        <v>3770732</v>
      </c>
      <c r="H92" s="73">
        <v>800663</v>
      </c>
      <c r="I92" s="81">
        <v>0.71700000000000008</v>
      </c>
      <c r="J92" s="74">
        <v>8.3199999999999996E-2</v>
      </c>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row>
    <row r="93" spans="1:60" s="7" customFormat="1" hidden="1">
      <c r="A93" s="6"/>
      <c r="B93" s="6"/>
      <c r="C93" s="30" t="s">
        <v>83</v>
      </c>
      <c r="D93" s="6"/>
      <c r="E93" s="78">
        <v>27772.075059999996</v>
      </c>
      <c r="F93" s="72">
        <v>13144.53277</v>
      </c>
      <c r="G93" s="72">
        <v>959431</v>
      </c>
      <c r="H93" s="73">
        <v>607689</v>
      </c>
      <c r="I93" s="81">
        <v>0.79849999999999999</v>
      </c>
      <c r="J93" s="74">
        <v>0.1008</v>
      </c>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row>
    <row r="94" spans="1:60" s="7" customFormat="1" hidden="1">
      <c r="A94" s="6"/>
      <c r="B94" s="6"/>
      <c r="C94" s="30" t="s">
        <v>84</v>
      </c>
      <c r="D94" s="6"/>
      <c r="E94" s="78">
        <v>123986.15430999998</v>
      </c>
      <c r="F94" s="72">
        <v>69388.313569999998</v>
      </c>
      <c r="G94" s="72">
        <v>5401064</v>
      </c>
      <c r="H94" s="73">
        <v>1499237</v>
      </c>
      <c r="I94" s="81">
        <v>0.53010000000000002</v>
      </c>
      <c r="J94" s="74">
        <v>7.2900000000000006E-2</v>
      </c>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row>
    <row r="95" spans="1:60" s="7" customFormat="1" hidden="1">
      <c r="A95" s="6"/>
      <c r="B95" s="6"/>
      <c r="C95" s="30" t="s">
        <v>85</v>
      </c>
      <c r="D95" s="6"/>
      <c r="E95" s="78">
        <v>122474.65402</v>
      </c>
      <c r="F95" s="72">
        <v>57240.281779999998</v>
      </c>
      <c r="G95" s="72">
        <v>4633090</v>
      </c>
      <c r="H95" s="73">
        <v>1207990</v>
      </c>
      <c r="I95" s="81">
        <v>0.81140000000000001</v>
      </c>
      <c r="J95" s="74">
        <v>9.9000000000000005E-2</v>
      </c>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row>
    <row r="96" spans="1:60" s="7" customFormat="1" hidden="1">
      <c r="A96" s="6"/>
      <c r="B96" s="6"/>
      <c r="C96" s="30" t="s">
        <v>86</v>
      </c>
      <c r="D96" s="6"/>
      <c r="E96" s="78">
        <v>9826.0682699999998</v>
      </c>
      <c r="F96" s="72">
        <v>5273.4613800000006</v>
      </c>
      <c r="G96" s="72">
        <v>411541</v>
      </c>
      <c r="H96" s="73">
        <v>321072</v>
      </c>
      <c r="I96" s="81">
        <v>0.80430000000000001</v>
      </c>
      <c r="J96" s="74">
        <v>9.4399999999999998E-2</v>
      </c>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row>
    <row r="97" spans="1:60" s="7" customFormat="1" hidden="1">
      <c r="A97" s="6"/>
      <c r="B97" s="6"/>
      <c r="C97" s="30" t="s">
        <v>87</v>
      </c>
      <c r="D97" s="6"/>
      <c r="E97" s="78">
        <v>114693.58862000001</v>
      </c>
      <c r="F97" s="72">
        <v>57260.690889999998</v>
      </c>
      <c r="G97" s="72">
        <v>4788084</v>
      </c>
      <c r="H97" s="73">
        <v>1656621</v>
      </c>
      <c r="I97" s="81">
        <v>0.83379999999999999</v>
      </c>
      <c r="J97" s="74">
        <v>7.8899999999999998E-2</v>
      </c>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row>
    <row r="98" spans="1:60" s="7" customFormat="1" hidden="1">
      <c r="A98" s="6"/>
      <c r="B98" s="6"/>
      <c r="C98" s="30" t="s">
        <v>88</v>
      </c>
      <c r="D98" s="6"/>
      <c r="E98" s="78">
        <v>44648.236609999993</v>
      </c>
      <c r="F98" s="72">
        <v>21732.978019999999</v>
      </c>
      <c r="G98" s="72">
        <v>1815899</v>
      </c>
      <c r="H98" s="73">
        <v>932354</v>
      </c>
      <c r="I98" s="81">
        <v>0.82620000000000005</v>
      </c>
      <c r="J98" s="74">
        <v>0.1017</v>
      </c>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row>
    <row r="99" spans="1:60" s="7" customFormat="1" hidden="1">
      <c r="A99" s="6"/>
      <c r="B99" s="6"/>
      <c r="C99" s="30" t="s">
        <v>89</v>
      </c>
      <c r="D99" s="6"/>
      <c r="E99" s="78">
        <v>35808.465319999996</v>
      </c>
      <c r="F99" s="72">
        <v>21130.91156</v>
      </c>
      <c r="G99" s="72">
        <v>1506779</v>
      </c>
      <c r="H99" s="73">
        <v>574017</v>
      </c>
      <c r="I99" s="81">
        <v>0.71439999999999992</v>
      </c>
      <c r="J99" s="74">
        <v>0.1036</v>
      </c>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row>
    <row r="100" spans="1:60" s="7" customFormat="1" hidden="1">
      <c r="A100" s="6"/>
      <c r="B100" s="6"/>
      <c r="C100" s="30" t="s">
        <v>90</v>
      </c>
      <c r="D100" s="6"/>
      <c r="E100" s="78">
        <v>102863.50977</v>
      </c>
      <c r="F100" s="72">
        <v>57773.061570000005</v>
      </c>
      <c r="G100" s="72">
        <v>4679656</v>
      </c>
      <c r="H100" s="73">
        <v>1564703</v>
      </c>
      <c r="I100" s="81">
        <v>0.76480000000000004</v>
      </c>
      <c r="J100" s="74">
        <v>8.6300000000000002E-2</v>
      </c>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row>
    <row r="101" spans="1:60" s="7" customFormat="1" hidden="1">
      <c r="A101" s="6"/>
      <c r="B101" s="6"/>
      <c r="C101" s="30" t="s">
        <v>91</v>
      </c>
      <c r="D101" s="6"/>
      <c r="E101" s="78">
        <v>7580.8322599999992</v>
      </c>
      <c r="F101" s="72">
        <v>5245.2016399999993</v>
      </c>
      <c r="G101" s="72">
        <v>366451</v>
      </c>
      <c r="H101" s="73">
        <v>70603</v>
      </c>
      <c r="I101" s="81">
        <v>0.79790000000000005</v>
      </c>
      <c r="J101" s="74">
        <v>8.5600000000000009E-2</v>
      </c>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row>
    <row r="102" spans="1:60" s="7" customFormat="1" hidden="1">
      <c r="A102" s="6"/>
      <c r="B102" s="6"/>
      <c r="C102" s="30" t="s">
        <v>92</v>
      </c>
      <c r="D102" s="6"/>
      <c r="E102" s="78">
        <v>57939.397369999999</v>
      </c>
      <c r="F102" s="72">
        <v>31138.73199</v>
      </c>
      <c r="G102" s="72">
        <v>2669735</v>
      </c>
      <c r="H102" s="73">
        <v>882310</v>
      </c>
      <c r="I102" s="81">
        <v>0.82810000000000006</v>
      </c>
      <c r="J102" s="74">
        <v>9.3699999999999992E-2</v>
      </c>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row>
    <row r="103" spans="1:60" s="7" customFormat="1" hidden="1">
      <c r="A103" s="6"/>
      <c r="B103" s="6"/>
      <c r="C103" s="30" t="s">
        <v>93</v>
      </c>
      <c r="D103" s="6"/>
      <c r="E103" s="78">
        <v>9922.3995400000003</v>
      </c>
      <c r="F103" s="72">
        <v>5568.5632800000003</v>
      </c>
      <c r="G103" s="72">
        <v>435583</v>
      </c>
      <c r="H103" s="73">
        <v>240057</v>
      </c>
      <c r="I103" s="81">
        <v>0.79569999999999996</v>
      </c>
      <c r="J103" s="74">
        <v>9.1600000000000001E-2</v>
      </c>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row>
    <row r="104" spans="1:60" s="7" customFormat="1" hidden="1">
      <c r="A104" s="6"/>
      <c r="B104" s="6"/>
      <c r="C104" s="30" t="s">
        <v>94</v>
      </c>
      <c r="D104" s="6"/>
      <c r="E104" s="78">
        <v>82891.770850000001</v>
      </c>
      <c r="F104" s="72">
        <v>45901.866720000005</v>
      </c>
      <c r="G104" s="72">
        <v>3278392</v>
      </c>
      <c r="H104" s="73">
        <v>1130885</v>
      </c>
      <c r="I104" s="81">
        <v>0.83560000000000001</v>
      </c>
      <c r="J104" s="74">
        <v>9.1999999999999998E-2</v>
      </c>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row>
    <row r="105" spans="1:60" s="7" customFormat="1" hidden="1">
      <c r="A105" s="6"/>
      <c r="B105" s="6"/>
      <c r="C105" s="30" t="s">
        <v>95</v>
      </c>
      <c r="D105" s="6"/>
      <c r="E105" s="78">
        <v>288227.23553999997</v>
      </c>
      <c r="F105" s="72">
        <v>170390.14045000001</v>
      </c>
      <c r="G105" s="72">
        <v>14271917</v>
      </c>
      <c r="H105" s="73">
        <v>5982285</v>
      </c>
      <c r="I105" s="81">
        <v>0.80330000000000001</v>
      </c>
      <c r="J105" s="74">
        <v>0.1065</v>
      </c>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row>
    <row r="106" spans="1:60" s="7" customFormat="1" hidden="1">
      <c r="A106" s="6"/>
      <c r="B106" s="6"/>
      <c r="C106" s="30" t="s">
        <v>96</v>
      </c>
      <c r="D106" s="6"/>
      <c r="E106" s="78">
        <v>32910.67512</v>
      </c>
      <c r="F106" s="72">
        <v>20151.57675</v>
      </c>
      <c r="G106" s="72">
        <v>1190445</v>
      </c>
      <c r="H106" s="73">
        <v>483312</v>
      </c>
      <c r="I106" s="81">
        <v>0.75930000000000009</v>
      </c>
      <c r="J106" s="74">
        <v>0.11650000000000001</v>
      </c>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row>
    <row r="107" spans="1:60" s="7" customFormat="1" hidden="1">
      <c r="A107" s="6"/>
      <c r="B107" s="6"/>
      <c r="C107" s="30" t="s">
        <v>97</v>
      </c>
      <c r="D107" s="6"/>
      <c r="E107" s="78">
        <v>7345.6269200000006</v>
      </c>
      <c r="F107" s="72">
        <v>2927.6719200000002</v>
      </c>
      <c r="G107" s="72">
        <v>288944</v>
      </c>
      <c r="H107" s="73">
        <v>71598</v>
      </c>
      <c r="I107" s="81">
        <v>0.75599999999999989</v>
      </c>
      <c r="J107" s="74">
        <v>9.1300000000000006E-2</v>
      </c>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row>
    <row r="108" spans="1:60" s="7" customFormat="1" hidden="1">
      <c r="A108" s="6"/>
      <c r="B108" s="6"/>
      <c r="C108" s="30" t="s">
        <v>98</v>
      </c>
      <c r="D108" s="6"/>
      <c r="E108" s="78">
        <v>85432.484160000007</v>
      </c>
      <c r="F108" s="72">
        <v>52025.025210000007</v>
      </c>
      <c r="G108" s="72">
        <v>3919440</v>
      </c>
      <c r="H108" s="73">
        <v>1043447</v>
      </c>
      <c r="I108" s="81">
        <v>0.77379999999999993</v>
      </c>
      <c r="J108" s="74">
        <v>9.6000000000000002E-2</v>
      </c>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row>
    <row r="109" spans="1:60" s="7" customFormat="1" hidden="1">
      <c r="A109" s="6"/>
      <c r="B109" s="6"/>
      <c r="C109" s="30" t="s">
        <v>99</v>
      </c>
      <c r="D109" s="6"/>
      <c r="E109" s="78">
        <v>62529.638340000005</v>
      </c>
      <c r="F109" s="72">
        <v>37728.777950000003</v>
      </c>
      <c r="G109" s="72">
        <v>2811430</v>
      </c>
      <c r="H109" s="73">
        <v>736027</v>
      </c>
      <c r="I109" s="81">
        <v>0.72310000000000008</v>
      </c>
      <c r="J109" s="74">
        <v>0.1027</v>
      </c>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row>
    <row r="110" spans="1:60" s="7" customFormat="1" hidden="1">
      <c r="A110" s="6"/>
      <c r="B110" s="6"/>
      <c r="C110" s="30" t="s">
        <v>100</v>
      </c>
      <c r="D110" s="6"/>
      <c r="E110" s="78">
        <v>19076.559669999999</v>
      </c>
      <c r="F110" s="72">
        <v>10488.860140000001</v>
      </c>
      <c r="G110" s="72">
        <v>791672</v>
      </c>
      <c r="H110" s="73">
        <v>508187</v>
      </c>
      <c r="I110" s="81">
        <v>0.82040000000000002</v>
      </c>
      <c r="J110" s="74">
        <v>9.9700000000000011E-2</v>
      </c>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row>
    <row r="111" spans="1:60" s="7" customFormat="1" hidden="1">
      <c r="A111" s="6"/>
      <c r="B111" s="6"/>
      <c r="C111" s="30" t="s">
        <v>101</v>
      </c>
      <c r="D111" s="6"/>
      <c r="E111" s="78">
        <v>66347.623860000007</v>
      </c>
      <c r="F111" s="72">
        <v>34259.79363</v>
      </c>
      <c r="G111" s="72">
        <v>2461021</v>
      </c>
      <c r="H111" s="73">
        <v>863778</v>
      </c>
      <c r="I111" s="81">
        <v>0.80700000000000005</v>
      </c>
      <c r="J111" s="74">
        <v>8.4100000000000008E-2</v>
      </c>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row>
    <row r="112" spans="1:60" s="7" customFormat="1" ht="17" hidden="1" thickBot="1">
      <c r="A112" s="6"/>
      <c r="B112" s="6"/>
      <c r="C112" s="39" t="s">
        <v>102</v>
      </c>
      <c r="D112" s="58"/>
      <c r="E112" s="79">
        <v>10207.60564</v>
      </c>
      <c r="F112" s="75">
        <v>5608.1451800000004</v>
      </c>
      <c r="G112" s="75">
        <v>293603</v>
      </c>
      <c r="H112" s="76">
        <v>368810</v>
      </c>
      <c r="I112" s="82">
        <v>0.76969999999999994</v>
      </c>
      <c r="J112" s="77">
        <v>0.107</v>
      </c>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row>
    <row r="113" spans="1:60" s="7" customFormat="1" hidden="1">
      <c r="A113" s="6"/>
      <c r="B113" s="6"/>
      <c r="C113" s="6"/>
      <c r="D113" s="6"/>
      <c r="E113" s="59"/>
      <c r="F113" s="59"/>
      <c r="G113" s="6"/>
      <c r="H113" s="6"/>
      <c r="I113" s="6"/>
      <c r="J113" s="59"/>
      <c r="K113" s="59"/>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row>
    <row r="114" spans="1:60" hidden="1">
      <c r="A114" s="6"/>
      <c r="B114" s="6"/>
      <c r="C114" s="17" t="s">
        <v>119</v>
      </c>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row>
    <row r="115" spans="1:60" s="109" customFormat="1" ht="17" hidden="1" thickBot="1">
      <c r="C115" s="108" t="s">
        <v>27</v>
      </c>
    </row>
    <row r="116" spans="1:60" s="109" customFormat="1" hidden="1">
      <c r="C116" s="125" t="s">
        <v>13</v>
      </c>
      <c r="D116" s="126"/>
      <c r="E116" s="129" t="s">
        <v>14</v>
      </c>
    </row>
    <row r="117" spans="1:60" s="109" customFormat="1" hidden="1">
      <c r="C117" s="118" t="s">
        <v>155</v>
      </c>
      <c r="E117" s="130">
        <f>IF(Summary!F10&lt;&gt;"",Summary!F10,Summary!E10)</f>
        <v>71734.627819999994</v>
      </c>
    </row>
    <row r="118" spans="1:60" s="109" customFormat="1" hidden="1">
      <c r="C118" s="118" t="s">
        <v>156</v>
      </c>
      <c r="E118" s="130">
        <f>IF(Summary!F12&lt;&gt;"",Summary!F12,Summary!E12)</f>
        <v>31565.333989999999</v>
      </c>
    </row>
    <row r="119" spans="1:60" s="109" customFormat="1" hidden="1">
      <c r="C119" s="118" t="s">
        <v>16</v>
      </c>
      <c r="E119" s="130">
        <f>IF(Summary!F14&lt;&gt;"",Summary!F14,Summary!E14)</f>
        <v>2659652</v>
      </c>
    </row>
    <row r="120" spans="1:60" s="109" customFormat="1" ht="17" hidden="1" thickBot="1">
      <c r="C120" s="121" t="s">
        <v>17</v>
      </c>
      <c r="D120" s="122"/>
      <c r="E120" s="131">
        <f>IF(Summary!F16&lt;&gt;"",Summary!F16,Summary!E16)</f>
        <v>874206</v>
      </c>
    </row>
    <row r="121" spans="1:60" s="109" customFormat="1" hidden="1"/>
    <row r="122" spans="1:60" s="109" customFormat="1" ht="17" hidden="1" thickBot="1">
      <c r="C122" s="108" t="s">
        <v>26</v>
      </c>
      <c r="D122" s="108"/>
    </row>
    <row r="123" spans="1:60" s="109" customFormat="1" hidden="1">
      <c r="C123" s="125" t="s">
        <v>13</v>
      </c>
      <c r="D123" s="126"/>
      <c r="E123" s="129" t="s">
        <v>14</v>
      </c>
    </row>
    <row r="124" spans="1:60" s="109" customFormat="1" hidden="1">
      <c r="C124" s="118" t="s">
        <v>30</v>
      </c>
      <c r="E124" s="132">
        <f>IF(Summary!F21&lt;&gt;"",Summary!F21,Summary!E21)</f>
        <v>4</v>
      </c>
    </row>
    <row r="125" spans="1:60" s="109" customFormat="1" hidden="1">
      <c r="C125" s="118" t="s">
        <v>15</v>
      </c>
      <c r="E125" s="167">
        <f>IF(Summary!F23&lt;&gt;"",Summary!F23,Summary!E23)</f>
        <v>1.06E-2</v>
      </c>
    </row>
    <row r="126" spans="1:60" s="109" customFormat="1" hidden="1">
      <c r="C126" s="118" t="s">
        <v>12</v>
      </c>
      <c r="E126" s="134">
        <f>IF(Summary!F25&lt;&gt;"",Summary!F25,Summary!E25)</f>
        <v>2.3444444444444446</v>
      </c>
    </row>
    <row r="127" spans="1:60" s="109" customFormat="1" hidden="1">
      <c r="C127" s="118" t="s">
        <v>18</v>
      </c>
      <c r="E127" s="134">
        <f>IF(Summary!F27&lt;&gt;"",Summary!F27,Summary!E27)</f>
        <v>8.1</v>
      </c>
    </row>
    <row r="128" spans="1:60" s="109" customFormat="1" hidden="1">
      <c r="C128" s="118" t="s">
        <v>28</v>
      </c>
      <c r="E128" s="134">
        <f>IF(Summary!F29&lt;&gt;"",Summary!F29,Summary!E29)</f>
        <v>10.19</v>
      </c>
    </row>
    <row r="129" spans="3:14" s="109" customFormat="1" hidden="1">
      <c r="C129" s="118" t="s">
        <v>32</v>
      </c>
      <c r="E129" s="133">
        <f>IF(Summary!F31&lt;&gt;"",Summary!F31,Summary!E31)</f>
        <v>0.89646149393642471</v>
      </c>
    </row>
    <row r="130" spans="3:14" s="109" customFormat="1" hidden="1">
      <c r="C130" s="118" t="s">
        <v>38</v>
      </c>
      <c r="E130" s="133">
        <f>IF(Summary!F33&lt;&gt;"",Summary!F33,Summary!E33)</f>
        <v>4.3757197008251959E-2</v>
      </c>
    </row>
    <row r="131" spans="3:14" s="109" customFormat="1" hidden="1">
      <c r="C131" s="118" t="s">
        <v>39</v>
      </c>
      <c r="E131" s="133">
        <f>IF(Summary!F35&lt;&gt;"",Summary!F35,Summary!E35)</f>
        <v>5.3745326160136268E-2</v>
      </c>
    </row>
    <row r="132" spans="3:14" s="109" customFormat="1" hidden="1">
      <c r="C132" s="118" t="s">
        <v>33</v>
      </c>
      <c r="E132" s="133">
        <f>IF(Summary!F37&lt;&gt;"",Summary!F37,Summary!E37)</f>
        <v>6.0359828951870587E-3</v>
      </c>
    </row>
    <row r="133" spans="3:14" s="109" customFormat="1" ht="17" hidden="1" thickBot="1">
      <c r="C133" s="121" t="s">
        <v>108</v>
      </c>
      <c r="D133" s="122"/>
      <c r="E133" s="136">
        <f>IF(Summary!F39&lt;&gt;"",Summary!F39,Summary!E39)</f>
        <v>0.18955278148103261</v>
      </c>
    </row>
    <row r="134" spans="3:14" s="109" customFormat="1" hidden="1"/>
    <row r="135" spans="3:14" s="109" customFormat="1" ht="17" hidden="1" thickBot="1">
      <c r="C135" s="108" t="s">
        <v>118</v>
      </c>
      <c r="D135" s="108"/>
    </row>
    <row r="136" spans="3:14" s="109" customFormat="1" hidden="1">
      <c r="C136" s="110"/>
      <c r="D136" s="111"/>
      <c r="E136" s="112" t="s">
        <v>9</v>
      </c>
      <c r="F136" s="111"/>
      <c r="G136" s="111"/>
      <c r="H136" s="112" t="s">
        <v>31</v>
      </c>
      <c r="I136" s="111"/>
      <c r="J136" s="113"/>
    </row>
    <row r="137" spans="3:14" s="109" customFormat="1" ht="34" hidden="1">
      <c r="C137" s="114" t="s">
        <v>8</v>
      </c>
      <c r="D137" s="115"/>
      <c r="E137" s="137" t="s">
        <v>11</v>
      </c>
      <c r="F137" s="138" t="s">
        <v>10</v>
      </c>
      <c r="G137" s="138" t="s">
        <v>157</v>
      </c>
      <c r="H137" s="137" t="s">
        <v>11</v>
      </c>
      <c r="I137" s="138" t="s">
        <v>10</v>
      </c>
      <c r="J137" s="139" t="s">
        <v>157</v>
      </c>
    </row>
    <row r="138" spans="3:14" s="109" customFormat="1" hidden="1">
      <c r="C138" s="118" t="s">
        <v>6</v>
      </c>
      <c r="E138" s="140">
        <f>IF(Summary!F44&lt;&gt;"",Summary!F44,Summary!E44)</f>
        <v>0.85730000000000006</v>
      </c>
      <c r="F138" s="141">
        <f>E138/(E138+E139/$E$126)</f>
        <v>0.95805313587235441</v>
      </c>
      <c r="G138" s="142">
        <f>$E$117*$E$133*$E$129*F138</f>
        <v>11678.31667517616</v>
      </c>
      <c r="H138" s="140">
        <f>IF(Summary!G44&lt;&gt;"",Summary!G44,Summary!E44)</f>
        <v>0.85730000000000006</v>
      </c>
      <c r="I138" s="141">
        <f>H138/(H138+H139/$E$126)</f>
        <v>0.95805313587235441</v>
      </c>
      <c r="J138" s="120">
        <f>H138/E138*G138*(1+$E$125)^$E$124</f>
        <v>12181.40613985747</v>
      </c>
    </row>
    <row r="139" spans="3:14" s="109" customFormat="1" hidden="1">
      <c r="C139" s="118" t="s">
        <v>7</v>
      </c>
      <c r="E139" s="140">
        <f>IF(Summary!F45&lt;&gt;"",Summary!F45,Summary!E45)</f>
        <v>8.8000000000000009E-2</v>
      </c>
      <c r="F139" s="141">
        <f>1-F138</f>
        <v>4.1946864127645589E-2</v>
      </c>
      <c r="G139" s="142">
        <f>$E$117*$E$133*$E$129*F139</f>
        <v>511.31690349009989</v>
      </c>
      <c r="H139" s="140">
        <f>IF(Summary!G45&lt;&gt;"",Summary!G45,Summary!E45)</f>
        <v>8.8000000000000009E-2</v>
      </c>
      <c r="I139" s="141">
        <f>1-I138</f>
        <v>4.1946864127645589E-2</v>
      </c>
      <c r="J139" s="120">
        <f>H139/E139*G139*(1+$E$125)^$E$124</f>
        <v>533.34389200344742</v>
      </c>
    </row>
    <row r="140" spans="3:14" s="109" customFormat="1" hidden="1">
      <c r="C140" s="118" t="s">
        <v>2</v>
      </c>
      <c r="E140" s="140">
        <f>1-E138-E139</f>
        <v>5.4699999999999929E-2</v>
      </c>
      <c r="F140" s="141">
        <v>0</v>
      </c>
      <c r="G140" s="142">
        <f>$E$117*$E$133*$E$129*F140</f>
        <v>0</v>
      </c>
      <c r="H140" s="140">
        <f>1-H138-H139</f>
        <v>5.4699999999999929E-2</v>
      </c>
      <c r="I140" s="141">
        <v>0</v>
      </c>
      <c r="J140" s="120">
        <v>0</v>
      </c>
    </row>
    <row r="141" spans="3:14" s="109" customFormat="1" ht="17" hidden="1" thickBot="1">
      <c r="C141" s="121" t="s">
        <v>4</v>
      </c>
      <c r="D141" s="122"/>
      <c r="E141" s="143">
        <f t="shared" ref="E141:J141" si="0">SUM(E138:E140)</f>
        <v>1</v>
      </c>
      <c r="F141" s="144">
        <f t="shared" si="0"/>
        <v>1</v>
      </c>
      <c r="G141" s="145">
        <f t="shared" si="0"/>
        <v>12189.63357866626</v>
      </c>
      <c r="H141" s="143">
        <f t="shared" si="0"/>
        <v>1</v>
      </c>
      <c r="I141" s="144">
        <f t="shared" si="0"/>
        <v>1</v>
      </c>
      <c r="J141" s="124">
        <f t="shared" si="0"/>
        <v>12714.750031860918</v>
      </c>
    </row>
    <row r="142" spans="3:14" s="109" customFormat="1" hidden="1">
      <c r="E142" s="141"/>
      <c r="F142" s="142"/>
      <c r="G142" s="142"/>
      <c r="H142" s="141"/>
      <c r="I142" s="142"/>
      <c r="J142" s="142"/>
    </row>
    <row r="143" spans="3:14" s="109" customFormat="1" ht="17" hidden="1" thickBot="1">
      <c r="C143" s="108" t="s">
        <v>19</v>
      </c>
      <c r="D143" s="108"/>
    </row>
    <row r="144" spans="3:14" s="109" customFormat="1" hidden="1">
      <c r="C144" s="146"/>
      <c r="D144" s="147"/>
      <c r="E144" s="112" t="s">
        <v>9</v>
      </c>
      <c r="F144" s="147"/>
      <c r="G144" s="147"/>
      <c r="H144" s="147"/>
      <c r="I144" s="147"/>
      <c r="J144" s="112" t="s">
        <v>31</v>
      </c>
      <c r="K144" s="147"/>
      <c r="L144" s="147"/>
      <c r="M144" s="147"/>
      <c r="N144" s="148"/>
    </row>
    <row r="145" spans="3:14" s="109" customFormat="1" hidden="1">
      <c r="C145" s="114" t="s">
        <v>20</v>
      </c>
      <c r="D145" s="115"/>
      <c r="E145" s="116" t="s">
        <v>3</v>
      </c>
      <c r="F145" s="149" t="s">
        <v>152</v>
      </c>
      <c r="G145" s="149" t="s">
        <v>35</v>
      </c>
      <c r="H145" s="149" t="s">
        <v>36</v>
      </c>
      <c r="I145" s="149" t="s">
        <v>4</v>
      </c>
      <c r="J145" s="116" t="s">
        <v>3</v>
      </c>
      <c r="K145" s="149" t="s">
        <v>37</v>
      </c>
      <c r="L145" s="149" t="s">
        <v>35</v>
      </c>
      <c r="M145" s="149" t="s">
        <v>36</v>
      </c>
      <c r="N145" s="117" t="s">
        <v>4</v>
      </c>
    </row>
    <row r="146" spans="3:14" s="109" customFormat="1" hidden="1">
      <c r="C146" s="118" t="s">
        <v>21</v>
      </c>
      <c r="E146" s="150">
        <f>IF(Summary!I50&lt;&gt;"",Summary!I50,Summary!E50)</f>
        <v>22.828282828282831</v>
      </c>
      <c r="F146" s="151">
        <f>IF(Summary!J50&lt;&gt;"",Summary!J50,Summary!F50)</f>
        <v>7.5</v>
      </c>
      <c r="G146" s="151">
        <f>IF(Summary!K50&lt;&gt;"",Summary!K50,Summary!G50)</f>
        <v>6</v>
      </c>
      <c r="H146" s="151">
        <f>IF(Summary!L50&lt;&gt;"",Summary!L50,Summary!H50)</f>
        <v>44</v>
      </c>
      <c r="I146" s="151">
        <f>SUMPRODUCT(E146:H146,E$153:H$153)/I$153</f>
        <v>21.380910710156591</v>
      </c>
      <c r="J146" s="150">
        <f>IF(Summary!M50&lt;&gt;"",Summary!M50,Summary!E50)</f>
        <v>22.828282828282831</v>
      </c>
      <c r="K146" s="151">
        <f>IF(Summary!N50&lt;&gt;"",Summary!N50,Summary!F50)</f>
        <v>7.5</v>
      </c>
      <c r="L146" s="151">
        <f>IF(Summary!O50&lt;&gt;"",Summary!O50,Summary!G50)</f>
        <v>6</v>
      </c>
      <c r="M146" s="151">
        <f>IF(Summary!P50&lt;&gt;"",Summary!P50,Summary!H50)</f>
        <v>44</v>
      </c>
      <c r="N146" s="152">
        <f>SUMPRODUCT(J146:M146,J$153:M$153)/N$153</f>
        <v>21.380910710156595</v>
      </c>
    </row>
    <row r="147" spans="3:14" s="109" customFormat="1" hidden="1">
      <c r="C147" s="118" t="s">
        <v>22</v>
      </c>
      <c r="E147" s="153">
        <f>IF(Summary!I51&lt;&gt;"",Summary!I51,Summary!E51)</f>
        <v>0.01</v>
      </c>
      <c r="F147" s="154">
        <f>IF(Summary!J51&lt;&gt;"",Summary!J51,Summary!F51)</f>
        <v>0</v>
      </c>
      <c r="G147" s="154">
        <f>IF(Summary!K51&lt;&gt;"",Summary!K51,Summary!G51)</f>
        <v>0</v>
      </c>
      <c r="H147" s="154">
        <f>IF(Summary!L51&lt;&gt;"",Summary!L51,Summary!H51)</f>
        <v>0</v>
      </c>
      <c r="I147" s="155">
        <f>SUMPRODUCT(E147:H147,E$153:H$153)/I$153</f>
        <v>8.9646149393642471E-3</v>
      </c>
      <c r="J147" s="153">
        <f>IF(Summary!M51&lt;&gt;"",Summary!M51,Summary!E51)</f>
        <v>0.01</v>
      </c>
      <c r="K147" s="154">
        <f>IF(Summary!N51&lt;&gt;"",Summary!N51,Summary!F51)</f>
        <v>0</v>
      </c>
      <c r="L147" s="154">
        <f>IF(Summary!O51&lt;&gt;"",Summary!O51,Summary!G51)</f>
        <v>0</v>
      </c>
      <c r="M147" s="154">
        <f>IF(Summary!P51&lt;&gt;"",Summary!P51,Summary!H51)</f>
        <v>0</v>
      </c>
      <c r="N147" s="156">
        <f>SUMPRODUCT(J147:M147,J$153:M$153)/N$153</f>
        <v>8.9646149393642471E-3</v>
      </c>
    </row>
    <row r="148" spans="3:14" s="109" customFormat="1" ht="17" hidden="1" thickBot="1">
      <c r="C148" s="121" t="s">
        <v>29</v>
      </c>
      <c r="D148" s="122"/>
      <c r="E148" s="157">
        <f>IF(Summary!I52&lt;&gt;"",Summary!I52,Summary!E52)</f>
        <v>0.97938144329896903</v>
      </c>
      <c r="F148" s="158">
        <f>IF(Summary!J52&lt;&gt;"",Summary!J52,Summary!F52)</f>
        <v>0.27638696860276252</v>
      </c>
      <c r="G148" s="158">
        <f>IF(Summary!K52&lt;&gt;"",Summary!K52,Summary!G52)</f>
        <v>0.12962514806842354</v>
      </c>
      <c r="H148" s="158">
        <f>IF(Summary!L52&lt;&gt;"",Summary!L52,Summary!H52)</f>
        <v>1</v>
      </c>
      <c r="I148" s="159">
        <f>SUMPRODUCT(E148:H148,E$153:H$153)/I$153</f>
        <v>0.90307439958575075</v>
      </c>
      <c r="J148" s="157">
        <f>IF(Summary!M52&lt;&gt;"",Summary!M52,Summary!E52)</f>
        <v>0.97938144329896903</v>
      </c>
      <c r="K148" s="158">
        <f>IF(Summary!N52&lt;&gt;"",Summary!N52,Summary!F52)</f>
        <v>0.27638696860276252</v>
      </c>
      <c r="L148" s="158">
        <f>IF(Summary!O52&lt;&gt;"",Summary!O52,Summary!G52)</f>
        <v>0.12962514806842354</v>
      </c>
      <c r="M148" s="158">
        <f>IF(Summary!P52&lt;&gt;"",Summary!P52,Summary!H52)</f>
        <v>1</v>
      </c>
      <c r="N148" s="160">
        <f>SUMPRODUCT(J148:M148,J$153:M$153)/N$153</f>
        <v>0.90307439958575075</v>
      </c>
    </row>
    <row r="149" spans="3:14" s="109" customFormat="1" hidden="1">
      <c r="E149" s="154"/>
      <c r="F149" s="154"/>
      <c r="G149" s="154"/>
      <c r="H149" s="154"/>
      <c r="I149" s="155"/>
      <c r="J149" s="154"/>
      <c r="K149" s="154"/>
      <c r="L149" s="154"/>
      <c r="M149" s="154"/>
      <c r="N149" s="155"/>
    </row>
    <row r="150" spans="3:14" s="109" customFormat="1" ht="17" hidden="1" thickBot="1">
      <c r="C150" s="108" t="s">
        <v>34</v>
      </c>
      <c r="D150" s="108"/>
      <c r="E150" s="154"/>
      <c r="F150" s="154"/>
      <c r="G150" s="154"/>
      <c r="H150" s="154"/>
      <c r="I150" s="155"/>
      <c r="J150" s="154"/>
      <c r="K150" s="154"/>
      <c r="L150" s="154"/>
      <c r="M150" s="154"/>
      <c r="N150" s="155"/>
    </row>
    <row r="151" spans="3:14" s="109" customFormat="1" hidden="1">
      <c r="C151" s="146"/>
      <c r="D151" s="147"/>
      <c r="E151" s="112" t="s">
        <v>9</v>
      </c>
      <c r="F151" s="147"/>
      <c r="G151" s="147"/>
      <c r="H151" s="147"/>
      <c r="I151" s="147"/>
      <c r="J151" s="112" t="s">
        <v>31</v>
      </c>
      <c r="K151" s="147"/>
      <c r="L151" s="147"/>
      <c r="M151" s="147"/>
      <c r="N151" s="148"/>
    </row>
    <row r="152" spans="3:14" s="109" customFormat="1" hidden="1">
      <c r="C152" s="114" t="s">
        <v>20</v>
      </c>
      <c r="D152" s="115"/>
      <c r="E152" s="116" t="s">
        <v>3</v>
      </c>
      <c r="F152" s="149" t="s">
        <v>152</v>
      </c>
      <c r="G152" s="149" t="s">
        <v>35</v>
      </c>
      <c r="H152" s="149" t="s">
        <v>36</v>
      </c>
      <c r="I152" s="149" t="s">
        <v>4</v>
      </c>
      <c r="J152" s="116" t="s">
        <v>3</v>
      </c>
      <c r="K152" s="149" t="s">
        <v>37</v>
      </c>
      <c r="L152" s="149" t="s">
        <v>35</v>
      </c>
      <c r="M152" s="149" t="s">
        <v>36</v>
      </c>
      <c r="N152" s="117" t="s">
        <v>4</v>
      </c>
    </row>
    <row r="153" spans="3:14" s="109" customFormat="1" hidden="1">
      <c r="C153" s="118" t="s">
        <v>155</v>
      </c>
      <c r="E153" s="119">
        <f>E129*$E$117</f>
        <v>64307.331622490608</v>
      </c>
      <c r="F153" s="142">
        <f>E130*$E$117</f>
        <v>3138.9062418333715</v>
      </c>
      <c r="G153" s="142">
        <f>E131*$E$117</f>
        <v>3855.4009691618844</v>
      </c>
      <c r="H153" s="142">
        <f>E132*$E$117</f>
        <v>432.98898651412969</v>
      </c>
      <c r="I153" s="142">
        <f>SUM(E153:H153)</f>
        <v>71734.627819999994</v>
      </c>
      <c r="J153" s="119">
        <f>J141+$E$129*(1-$E$133)*$E$117*(1+$E$125)^$E$124</f>
        <v>67077.623090079564</v>
      </c>
      <c r="K153" s="142">
        <f>F153*(1+$E$125)^$E$124</f>
        <v>3274.1269850972935</v>
      </c>
      <c r="L153" s="142">
        <f>G153*(1+$E$125)^$E$124</f>
        <v>4021.4875434222286</v>
      </c>
      <c r="M153" s="142">
        <f>H153*(1+$E$125)^$E$124</f>
        <v>451.64169165110621</v>
      </c>
      <c r="N153" s="120">
        <f>SUM(J153:M153)</f>
        <v>74824.879310250195</v>
      </c>
    </row>
    <row r="154" spans="3:14" s="109" customFormat="1" hidden="1">
      <c r="C154" s="118" t="s">
        <v>23</v>
      </c>
      <c r="E154" s="161">
        <f>(1-E147)/E146*E148</f>
        <v>4.2473086397226523E-2</v>
      </c>
      <c r="F154" s="162">
        <f>(1-F147)/F146*F148</f>
        <v>3.6851595813701669E-2</v>
      </c>
      <c r="G154" s="162">
        <f>(1-G147)/G146*G148</f>
        <v>2.1604191344737254E-2</v>
      </c>
      <c r="H154" s="162">
        <f>(1-H147)/H146*H148</f>
        <v>2.2727272727272728E-2</v>
      </c>
      <c r="I154" s="162">
        <f>SUMPRODUCT(E154:H154,E$153:H$153)/I$153</f>
        <v>4.0986314761522105E-2</v>
      </c>
      <c r="J154" s="161">
        <f>(1-J147)/J146*J148</f>
        <v>4.2473086397226523E-2</v>
      </c>
      <c r="K154" s="162">
        <f>(1-K147)/K146*K148</f>
        <v>3.6851595813701669E-2</v>
      </c>
      <c r="L154" s="162">
        <f>(1-L147)/L146*L148</f>
        <v>2.1604191344737254E-2</v>
      </c>
      <c r="M154" s="162">
        <f>(1-M147)/M146*M148</f>
        <v>2.2727272727272728E-2</v>
      </c>
      <c r="N154" s="163">
        <f>SUMPRODUCT(J154:M154,J$153:M$153)/N$153</f>
        <v>4.0986314761522112E-2</v>
      </c>
    </row>
    <row r="155" spans="3:14" s="109" customFormat="1" ht="17" hidden="1" thickBot="1">
      <c r="C155" s="121" t="s">
        <v>24</v>
      </c>
      <c r="D155" s="122"/>
      <c r="E155" s="164">
        <f>(1-E147)/E146*(1-E148)</f>
        <v>8.9417023994161271E-4</v>
      </c>
      <c r="F155" s="165">
        <f>(1-F147)/F146*(1-F148)</f>
        <v>9.6481737519631669E-2</v>
      </c>
      <c r="G155" s="165">
        <f>(1-G147)/G146*(1-G148)</f>
        <v>0.1450624753219294</v>
      </c>
      <c r="H155" s="165">
        <f>(1-H147)/H146*(1-H148)</f>
        <v>0</v>
      </c>
      <c r="I155" s="165">
        <f>SUMPRODUCT(E155:H155,E$153:H$153)/I$153</f>
        <v>1.2819789635250338E-2</v>
      </c>
      <c r="J155" s="164">
        <f>(1-J147)/J146*(1-J148)</f>
        <v>8.9417023994161271E-4</v>
      </c>
      <c r="K155" s="165">
        <f>(1-K147)/K146*(1-K148)</f>
        <v>9.6481737519631669E-2</v>
      </c>
      <c r="L155" s="165">
        <f>(1-L147)/L146*(1-L148)</f>
        <v>0.1450624753219294</v>
      </c>
      <c r="M155" s="165">
        <f>(1-M147)/M146*(1-M148)</f>
        <v>0</v>
      </c>
      <c r="N155" s="166">
        <f>SUMPRODUCT(J155:M155,J$153:M$153)/N$153</f>
        <v>1.281978963525034E-2</v>
      </c>
    </row>
    <row r="156" spans="3:14" s="109" customFormat="1" hidden="1"/>
    <row r="157" spans="3:14" s="109" customFormat="1" ht="17" hidden="1" thickBot="1">
      <c r="C157" s="17" t="s">
        <v>121</v>
      </c>
      <c r="D157" s="6"/>
      <c r="E157" s="6"/>
      <c r="F157" s="6"/>
    </row>
    <row r="158" spans="3:14" s="109" customFormat="1" hidden="1">
      <c r="C158" s="110"/>
      <c r="D158" s="111"/>
      <c r="E158" s="112" t="s">
        <v>25</v>
      </c>
      <c r="F158" s="113"/>
    </row>
    <row r="159" spans="3:14" s="109" customFormat="1" hidden="1">
      <c r="C159" s="114" t="s">
        <v>0</v>
      </c>
      <c r="D159" s="115"/>
      <c r="E159" s="116" t="s">
        <v>9</v>
      </c>
      <c r="F159" s="117" t="s">
        <v>31</v>
      </c>
    </row>
    <row r="160" spans="3:14" s="109" customFormat="1" hidden="1">
      <c r="C160" s="118" t="s">
        <v>1</v>
      </c>
      <c r="E160" s="119">
        <f>E119*E127</f>
        <v>21543181.199999999</v>
      </c>
      <c r="F160" s="120">
        <f>E160*N154/I154*N$153/I$153</f>
        <v>22471238.538989484</v>
      </c>
    </row>
    <row r="161" spans="3:6" s="109" customFormat="1" ht="17" hidden="1" thickBot="1">
      <c r="C161" s="121" t="s">
        <v>5</v>
      </c>
      <c r="D161" s="122"/>
      <c r="E161" s="123">
        <f>E120*E128</f>
        <v>8908159.1399999987</v>
      </c>
      <c r="F161" s="124">
        <f>E161*N155/I155*N$153/I$153</f>
        <v>9291913.1636055391</v>
      </c>
    </row>
    <row r="162" spans="3:6" customFormat="1">
      <c r="C162" s="7"/>
      <c r="D162" s="7"/>
      <c r="E162" s="7"/>
      <c r="F162" s="7"/>
    </row>
    <row r="163" spans="3:6" customFormat="1">
      <c r="C163" s="7"/>
      <c r="D163" s="7"/>
      <c r="E163" s="7"/>
      <c r="F163" s="7"/>
    </row>
  </sheetData>
  <sheetProtection sheet="1" objects="1" scenarios="1"/>
  <conditionalFormatting sqref="C41:F41 C42:D45 F42:G45">
    <cfRule type="expression" dxfId="12" priority="44">
      <formula>#REF!&lt;&gt;"Yes"</formula>
    </cfRule>
  </conditionalFormatting>
  <conditionalFormatting sqref="C47:F47 C48:D50 I48:J48 I52:J52 C52:D52 I50:J50">
    <cfRule type="expression" dxfId="11" priority="16">
      <formula>#REF!&lt;&gt;"Yes"</formula>
    </cfRule>
  </conditionalFormatting>
  <conditionalFormatting sqref="C51:D51 I51:J51">
    <cfRule type="expression" dxfId="10" priority="15">
      <formula>#REF!&lt;&gt;"Yes"</formula>
    </cfRule>
  </conditionalFormatting>
  <conditionalFormatting sqref="K48 K52 K50">
    <cfRule type="expression" dxfId="9" priority="10">
      <formula>#REF!&lt;&gt;"Yes"</formula>
    </cfRule>
  </conditionalFormatting>
  <conditionalFormatting sqref="K51">
    <cfRule type="expression" dxfId="8" priority="9">
      <formula>#REF!&lt;&gt;"Yes"</formula>
    </cfRule>
  </conditionalFormatting>
  <conditionalFormatting sqref="L48 L52 L50">
    <cfRule type="expression" dxfId="7" priority="8">
      <formula>#REF!&lt;&gt;"Yes"</formula>
    </cfRule>
  </conditionalFormatting>
  <conditionalFormatting sqref="L51">
    <cfRule type="expression" dxfId="6" priority="7">
      <formula>#REF!&lt;&gt;"Yes"</formula>
    </cfRule>
  </conditionalFormatting>
  <conditionalFormatting sqref="M48:N48 M52:N52 M50:N50">
    <cfRule type="expression" dxfId="5" priority="6">
      <formula>#REF!&lt;&gt;"Yes"</formula>
    </cfRule>
  </conditionalFormatting>
  <conditionalFormatting sqref="M51:N51">
    <cfRule type="expression" dxfId="4" priority="5">
      <formula>#REF!&lt;&gt;"Yes"</formula>
    </cfRule>
  </conditionalFormatting>
  <conditionalFormatting sqref="O48 O52 O50">
    <cfRule type="expression" dxfId="3" priority="4">
      <formula>#REF!&lt;&gt;"Yes"</formula>
    </cfRule>
  </conditionalFormatting>
  <conditionalFormatting sqref="O51">
    <cfRule type="expression" dxfId="2" priority="3">
      <formula>#REF!&lt;&gt;"Yes"</formula>
    </cfRule>
  </conditionalFormatting>
  <conditionalFormatting sqref="P48 P52 P50">
    <cfRule type="expression" dxfId="1" priority="2">
      <formula>#REF!&lt;&gt;"Yes"</formula>
    </cfRule>
  </conditionalFormatting>
  <conditionalFormatting sqref="P51">
    <cfRule type="expression" dxfId="0" priority="1">
      <formula>#REF!&lt;&gt;"Yes"</formula>
    </cfRule>
  </conditionalFormatting>
  <dataValidations count="2">
    <dataValidation type="list" allowBlank="1" showInputMessage="1" showErrorMessage="1" sqref="F8" xr:uid="{C6BE4654-AC3F-874A-B62C-8D376CD523D9}">
      <formula1>$C$62:$C$112</formula1>
    </dataValidation>
    <dataValidation type="list" allowBlank="1" showInputMessage="1" showErrorMessage="1" sqref="E20:E22 F20 F22 E24:F24" xr:uid="{D042A4D2-C2FE-994B-9696-14C71D80307A}">
      <formula1>#REF!</formula1>
    </dataValidation>
  </dataValidations>
  <pageMargins left="0.75" right="0.75" top="1" bottom="1" header="0.5" footer="0.5"/>
  <pageSetup orientation="portrait" horizontalDpi="4294967292" verticalDpi="4294967292"/>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7E9A-2370-C541-B27C-E97DA400E34B}">
  <sheetPr>
    <tabColor theme="4" tint="0.79998168889431442"/>
  </sheetPr>
  <dimension ref="A1:BH101"/>
  <sheetViews>
    <sheetView zoomScaleNormal="100" zoomScalePageLayoutView="110" workbookViewId="0">
      <selection activeCell="C108" sqref="C108"/>
    </sheetView>
  </sheetViews>
  <sheetFormatPr baseColWidth="10" defaultColWidth="0" defaultRowHeight="16"/>
  <cols>
    <col min="1" max="1" width="2.33203125" style="7" customWidth="1"/>
    <col min="2" max="2" width="4.83203125" style="7" customWidth="1"/>
    <col min="3" max="3" width="45" style="7" customWidth="1"/>
    <col min="4" max="4" width="1.1640625" style="7" customWidth="1"/>
    <col min="5" max="16" width="15.83203125" style="7" customWidth="1"/>
    <col min="17" max="54" width="11" style="7" customWidth="1"/>
    <col min="55" max="55" width="11" style="6" customWidth="1"/>
    <col min="56" max="57" width="11" style="6" hidden="1" customWidth="1"/>
    <col min="58" max="58" width="38.83203125" style="6" hidden="1" customWidth="1"/>
    <col min="59" max="16384" width="11" style="6" hidden="1"/>
  </cols>
  <sheetData>
    <row r="1" spans="1:60" s="7"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60" s="13" customFormat="1" ht="24">
      <c r="A2" s="8"/>
      <c r="B2" s="9"/>
      <c r="C2" s="10" t="str">
        <f>Summary!C2</f>
        <v>DRAFT AASHTO State-Level Transportation GHG Calculator</v>
      </c>
      <c r="D2" s="11"/>
      <c r="E2" s="11"/>
      <c r="F2" s="11"/>
      <c r="G2" s="11"/>
      <c r="H2" s="9"/>
      <c r="I2" s="9"/>
      <c r="J2" s="9"/>
      <c r="K2" s="12"/>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spans="1:60" s="13" customFormat="1" ht="24">
      <c r="A3" s="8"/>
      <c r="B3" s="9"/>
      <c r="C3" s="14" t="s">
        <v>131</v>
      </c>
      <c r="D3" s="15"/>
      <c r="E3" s="11"/>
      <c r="F3" s="11"/>
      <c r="G3" s="11"/>
      <c r="H3" s="9"/>
      <c r="I3" s="9"/>
      <c r="J3" s="9"/>
      <c r="K3" s="12" t="str">
        <f>Summary!P3</f>
        <v>last modified: 10/11/22</v>
      </c>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row>
    <row r="4" spans="1:60" s="7" customFormat="1">
      <c r="A4" s="6"/>
      <c r="B4" s="6"/>
      <c r="C4" s="16"/>
      <c r="D4" s="16"/>
      <c r="E4" s="16"/>
      <c r="F4" s="16"/>
      <c r="G4" s="1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row>
    <row r="5" spans="1:60" s="7" customFormat="1" ht="17" thickBot="1">
      <c r="A5" s="6"/>
      <c r="B5" s="6"/>
      <c r="C5" s="17" t="s">
        <v>134</v>
      </c>
      <c r="D5" s="16"/>
      <c r="E5" s="16"/>
      <c r="F5" s="16"/>
      <c r="G5" s="1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row>
    <row r="6" spans="1:60" s="7" customFormat="1">
      <c r="A6" s="6"/>
      <c r="B6" s="6"/>
      <c r="C6" s="18" t="s">
        <v>13</v>
      </c>
      <c r="D6" s="16"/>
      <c r="E6" s="18" t="s">
        <v>31</v>
      </c>
      <c r="F6" s="19" t="s">
        <v>129</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22" t="s">
        <v>20</v>
      </c>
      <c r="BG6" s="23" t="s">
        <v>14</v>
      </c>
      <c r="BH6" s="6"/>
    </row>
    <row r="7" spans="1:60" s="7" customFormat="1" ht="4.5" customHeight="1">
      <c r="A7" s="6"/>
      <c r="B7" s="6"/>
      <c r="C7" s="16"/>
      <c r="D7" s="16"/>
      <c r="E7" s="24"/>
      <c r="F7" s="24"/>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25"/>
      <c r="BG7" s="26"/>
      <c r="BH7" s="6"/>
    </row>
    <row r="8" spans="1:60" s="7" customFormat="1">
      <c r="A8" s="6"/>
      <c r="B8" s="6"/>
      <c r="C8" s="6" t="s">
        <v>44</v>
      </c>
      <c r="D8" s="6"/>
      <c r="E8" s="27">
        <f>Summary!E124</f>
        <v>4</v>
      </c>
      <c r="F8" s="28"/>
      <c r="G8" s="29"/>
      <c r="H8" s="29"/>
      <c r="I8" s="29"/>
      <c r="J8" s="29"/>
      <c r="K8" s="29"/>
      <c r="L8" s="29"/>
      <c r="M8" s="29"/>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30" t="str">
        <f>C8</f>
        <v>Analysis Period (years)</v>
      </c>
      <c r="BG8" s="31">
        <f>IF(F8&lt;&gt;"",F8,E8)</f>
        <v>4</v>
      </c>
      <c r="BH8" s="6"/>
    </row>
    <row r="9" spans="1:60" s="7" customFormat="1" ht="2.25" customHeight="1">
      <c r="A9" s="6"/>
      <c r="B9" s="6"/>
      <c r="C9" s="6"/>
      <c r="D9" s="6"/>
      <c r="E9" s="27"/>
      <c r="F9" s="169"/>
      <c r="G9" s="29"/>
      <c r="H9" s="29"/>
      <c r="I9" s="29"/>
      <c r="J9" s="32"/>
      <c r="K9" s="29"/>
      <c r="L9" s="29"/>
      <c r="M9" s="29"/>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30"/>
      <c r="BG9" s="31"/>
      <c r="BH9" s="6"/>
    </row>
    <row r="10" spans="1:60" s="7" customFormat="1">
      <c r="A10" s="6"/>
      <c r="B10" s="6"/>
      <c r="C10" s="6" t="s">
        <v>15</v>
      </c>
      <c r="D10" s="6"/>
      <c r="E10" s="220">
        <f>Summary!E125</f>
        <v>1.06E-2</v>
      </c>
      <c r="F10" s="219"/>
      <c r="G10" s="29"/>
      <c r="H10" s="29"/>
      <c r="I10" s="29"/>
      <c r="J10" s="29"/>
      <c r="K10" s="29"/>
      <c r="L10" s="29"/>
      <c r="M10" s="29"/>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30" t="str">
        <f>C10</f>
        <v>Annual VMT Growth</v>
      </c>
      <c r="BG10" s="35">
        <f>IF(F10&lt;&gt;"",F10,E10)</f>
        <v>1.06E-2</v>
      </c>
      <c r="BH10" s="6"/>
    </row>
    <row r="11" spans="1:60" s="7" customFormat="1" ht="2.25" customHeight="1">
      <c r="A11" s="6"/>
      <c r="B11" s="6"/>
      <c r="C11" s="6"/>
      <c r="D11" s="6"/>
      <c r="E11" s="36"/>
      <c r="F11" s="174"/>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30"/>
      <c r="BG11" s="38"/>
      <c r="BH11" s="6"/>
    </row>
    <row r="12" spans="1:60" s="7" customFormat="1">
      <c r="A12" s="6"/>
      <c r="B12" s="6"/>
      <c r="C12" s="6" t="s">
        <v>126</v>
      </c>
      <c r="D12" s="6"/>
      <c r="E12" s="62">
        <f>Summary!H138</f>
        <v>0.85730000000000006</v>
      </c>
      <c r="F12" s="85"/>
      <c r="G12" s="29"/>
      <c r="H12" s="29"/>
      <c r="I12" s="29"/>
      <c r="J12" s="29"/>
      <c r="K12" s="29"/>
      <c r="L12" s="29"/>
      <c r="M12" s="29"/>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30" t="str">
        <f>C12</f>
        <v>Future Percent of Work Trips Driving Alone</v>
      </c>
      <c r="BG12" s="43">
        <f>IF(F12&lt;&gt;"",F12,E12)</f>
        <v>0.85730000000000006</v>
      </c>
      <c r="BH12" s="6"/>
    </row>
    <row r="13" spans="1:60" s="7" customFormat="1" ht="2.25" customHeight="1">
      <c r="A13" s="6"/>
      <c r="B13" s="6"/>
      <c r="C13" s="6"/>
      <c r="D13" s="6"/>
      <c r="E13" s="40"/>
      <c r="F13" s="171"/>
      <c r="G13" s="29"/>
      <c r="H13" s="29"/>
      <c r="I13" s="29"/>
      <c r="J13" s="29"/>
      <c r="K13" s="29"/>
      <c r="L13" s="29"/>
      <c r="M13" s="29"/>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30"/>
      <c r="BG13" s="43"/>
      <c r="BH13" s="6"/>
    </row>
    <row r="14" spans="1:60" s="7" customFormat="1">
      <c r="A14" s="6"/>
      <c r="B14" s="6"/>
      <c r="C14" s="6" t="s">
        <v>127</v>
      </c>
      <c r="D14" s="6"/>
      <c r="E14" s="33">
        <f>Summary!J146</f>
        <v>22.828282828282831</v>
      </c>
      <c r="F14" s="44"/>
      <c r="G14" s="29"/>
      <c r="H14" s="29"/>
      <c r="I14" s="29"/>
      <c r="J14" s="29"/>
      <c r="K14" s="29"/>
      <c r="L14" s="29"/>
      <c r="M14" s="29"/>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30" t="str">
        <f>C14</f>
        <v>Future Auto Fuel Efficiency, Non-EV (mpg)</v>
      </c>
      <c r="BG14" s="45">
        <f>IF(F14&lt;&gt;"",F14,E14)</f>
        <v>22.828282828282831</v>
      </c>
      <c r="BH14" s="6"/>
    </row>
    <row r="15" spans="1:60" s="7" customFormat="1" ht="2.25" customHeight="1">
      <c r="A15" s="6"/>
      <c r="B15" s="6"/>
      <c r="C15" s="6"/>
      <c r="D15" s="6"/>
      <c r="E15" s="33"/>
      <c r="F15" s="172"/>
      <c r="G15" s="29"/>
      <c r="H15" s="29"/>
      <c r="I15" s="29"/>
      <c r="J15" s="29"/>
      <c r="K15" s="29"/>
      <c r="L15" s="29"/>
      <c r="M15" s="29"/>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30"/>
      <c r="BG15" s="45"/>
      <c r="BH15" s="6"/>
    </row>
    <row r="16" spans="1:60" s="7" customFormat="1">
      <c r="A16" s="6"/>
      <c r="B16" s="6"/>
      <c r="C16" s="6" t="s">
        <v>128</v>
      </c>
      <c r="D16" s="6"/>
      <c r="E16" s="61">
        <f>Summary!J147</f>
        <v>0.01</v>
      </c>
      <c r="F16" s="168"/>
      <c r="G16" s="29"/>
      <c r="H16" s="29"/>
      <c r="I16" s="29"/>
      <c r="J16" s="29"/>
      <c r="K16" s="29"/>
      <c r="L16" s="29"/>
      <c r="M16" s="29"/>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30" t="str">
        <f>C16</f>
        <v>Future EV Percent of Auto Fleet</v>
      </c>
      <c r="BG16" s="35">
        <f>IF(F16&lt;&gt;"",F16,E16)</f>
        <v>0.01</v>
      </c>
      <c r="BH16" s="6"/>
    </row>
    <row r="17" spans="1:60" s="7" customForma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47"/>
      <c r="BH17" s="6"/>
    </row>
    <row r="18" spans="1:60" s="7" customFormat="1">
      <c r="A18" s="6"/>
      <c r="B18" s="6"/>
      <c r="C18" s="108" t="s">
        <v>120</v>
      </c>
      <c r="D18" s="108"/>
      <c r="E18" s="109"/>
      <c r="F18" s="109"/>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47"/>
      <c r="BH18" s="6"/>
    </row>
    <row r="19" spans="1:60" s="7" customFormat="1">
      <c r="A19" s="6"/>
      <c r="B19" s="6"/>
      <c r="C19" s="115" t="s">
        <v>20</v>
      </c>
      <c r="D19" s="175"/>
      <c r="E19" s="149" t="s">
        <v>9</v>
      </c>
      <c r="F19" s="149" t="s">
        <v>31</v>
      </c>
      <c r="G19" s="149" t="s">
        <v>130</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47"/>
      <c r="BH19" s="6"/>
    </row>
    <row r="20" spans="1:60" s="7" customFormat="1" ht="2.25" customHeight="1">
      <c r="A20" s="6"/>
      <c r="B20" s="6"/>
      <c r="C20" s="6"/>
      <c r="D20" s="6"/>
      <c r="E20" s="40"/>
      <c r="F20" s="176"/>
      <c r="G20" s="29"/>
      <c r="H20" s="29"/>
      <c r="I20" s="29"/>
      <c r="J20" s="29"/>
      <c r="K20" s="29"/>
      <c r="L20" s="29"/>
      <c r="M20" s="29"/>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30"/>
      <c r="BG20" s="43"/>
      <c r="BH20" s="6"/>
    </row>
    <row r="21" spans="1:60" s="7" customFormat="1">
      <c r="A21" s="6"/>
      <c r="B21" s="6"/>
      <c r="C21" s="109" t="s">
        <v>122</v>
      </c>
      <c r="D21" s="109"/>
      <c r="E21" s="142">
        <f>Summary!E56</f>
        <v>30451340.339999996</v>
      </c>
      <c r="F21" s="142">
        <f>Summary!F56</f>
        <v>31763151.702595025</v>
      </c>
      <c r="G21" s="142">
        <f>SUM(F98:F99)</f>
        <v>31763151.702595025</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47"/>
      <c r="BH21" s="6"/>
    </row>
    <row r="22" spans="1:60" s="7" customFormat="1" ht="2.25" customHeight="1">
      <c r="A22" s="6"/>
      <c r="B22" s="6"/>
      <c r="C22" s="6"/>
      <c r="D22" s="6"/>
      <c r="E22" s="40"/>
      <c r="F22" s="176"/>
      <c r="G22" s="29"/>
      <c r="H22" s="29"/>
      <c r="I22" s="29"/>
      <c r="J22" s="29"/>
      <c r="K22" s="29"/>
      <c r="L22" s="29"/>
      <c r="M22" s="29"/>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30"/>
      <c r="BG22" s="43"/>
      <c r="BH22" s="6"/>
    </row>
    <row r="23" spans="1:60" s="7" customFormat="1">
      <c r="A23" s="6"/>
      <c r="B23" s="6"/>
      <c r="C23" s="109" t="s">
        <v>123</v>
      </c>
      <c r="D23" s="109"/>
      <c r="E23" s="142">
        <f>Summary!E57</f>
        <v>13399480.24386725</v>
      </c>
      <c r="F23" s="142">
        <f>Summary!F57</f>
        <v>13976715.604955224</v>
      </c>
      <c r="G23" s="142">
        <f>G21*$E$56/$E$55</f>
        <v>13976715.604955224</v>
      </c>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47"/>
      <c r="BH23" s="6"/>
    </row>
    <row r="24" spans="1:60" s="7" customForma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47"/>
      <c r="BH24" s="6"/>
    </row>
    <row r="25" spans="1:60" s="7" customForma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47"/>
      <c r="BH25" s="6"/>
    </row>
    <row r="26" spans="1:60" s="7" customForma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47"/>
      <c r="BH26" s="6"/>
    </row>
    <row r="27" spans="1:60" s="7" customForma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47"/>
      <c r="BH27" s="6"/>
    </row>
    <row r="28" spans="1:60" s="7" customForma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47"/>
      <c r="BH28" s="6"/>
    </row>
    <row r="29" spans="1:60" s="7" customForma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47"/>
      <c r="BH29" s="6"/>
    </row>
    <row r="30" spans="1:60" s="7" customForma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47"/>
      <c r="BH30" s="6"/>
    </row>
    <row r="31" spans="1:60" s="7" customForma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47"/>
      <c r="BH31" s="6"/>
    </row>
    <row r="32" spans="1:60" s="7" customForma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47"/>
      <c r="BH32" s="6"/>
    </row>
    <row r="33" spans="1:60" s="7" customForma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47"/>
      <c r="BH33" s="6"/>
    </row>
    <row r="34" spans="1:60" s="7" customForma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47"/>
      <c r="BH34" s="6"/>
    </row>
    <row r="35" spans="1:60" s="7" customForma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47"/>
      <c r="BH35" s="6"/>
    </row>
    <row r="36" spans="1:60" s="7" customForma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47"/>
      <c r="BH36" s="6"/>
    </row>
    <row r="37" spans="1:60" s="7" customForma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47"/>
      <c r="BH37" s="6"/>
    </row>
    <row r="38" spans="1:60" s="7" customForma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47"/>
      <c r="BH38" s="6"/>
    </row>
    <row r="39" spans="1:60" s="7" customForma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47"/>
      <c r="BH39" s="6"/>
    </row>
    <row r="40" spans="1:60" s="7" customForma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47"/>
      <c r="BH40" s="6"/>
    </row>
    <row r="41" spans="1:60" s="7" customForma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47"/>
      <c r="BH41" s="6"/>
    </row>
    <row r="42" spans="1:60" s="7" customForma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47"/>
      <c r="BH42" s="6"/>
    </row>
    <row r="43" spans="1:60" s="7" customForma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47"/>
      <c r="BH43" s="6"/>
    </row>
    <row r="44" spans="1:60" s="7" customForma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47"/>
      <c r="BH44" s="6"/>
    </row>
    <row r="45" spans="1:60" s="7" customForma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47"/>
      <c r="BH45" s="6"/>
    </row>
    <row r="46" spans="1:60" s="7" customForma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47"/>
      <c r="BH46" s="6"/>
    </row>
    <row r="47" spans="1:60" s="7" customForma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47"/>
      <c r="BH47" s="6"/>
    </row>
    <row r="48" spans="1:60" s="7" customForma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47"/>
      <c r="BH48" s="6"/>
    </row>
    <row r="49" spans="1:60" s="7" customForma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47"/>
      <c r="BH49" s="6"/>
    </row>
    <row r="50" spans="1:60" s="7" customForma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47"/>
      <c r="BH50" s="6"/>
    </row>
    <row r="51" spans="1:60" s="7" customForma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47"/>
      <c r="BH51" s="6"/>
    </row>
    <row r="52" spans="1:60" hidden="1">
      <c r="A52" s="6"/>
      <c r="B52" s="6"/>
      <c r="C52" s="17" t="s">
        <v>119</v>
      </c>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row>
    <row r="53" spans="1:60" s="109" customFormat="1" ht="17" hidden="1" thickBot="1">
      <c r="C53" s="108" t="s">
        <v>27</v>
      </c>
    </row>
    <row r="54" spans="1:60" s="109" customFormat="1" hidden="1">
      <c r="C54" s="125" t="s">
        <v>13</v>
      </c>
      <c r="D54" s="126"/>
      <c r="E54" s="129" t="s">
        <v>14</v>
      </c>
    </row>
    <row r="55" spans="1:60" s="109" customFormat="1" hidden="1">
      <c r="C55" s="118" t="s">
        <v>155</v>
      </c>
      <c r="E55" s="130">
        <f>Summary!E117</f>
        <v>71734.627819999994</v>
      </c>
    </row>
    <row r="56" spans="1:60" s="109" customFormat="1" hidden="1">
      <c r="C56" s="118" t="s">
        <v>156</v>
      </c>
      <c r="E56" s="130">
        <f>Summary!E118</f>
        <v>31565.333989999999</v>
      </c>
    </row>
    <row r="57" spans="1:60" s="109" customFormat="1" hidden="1">
      <c r="C57" s="118" t="s">
        <v>16</v>
      </c>
      <c r="E57" s="130">
        <f>Summary!E119</f>
        <v>2659652</v>
      </c>
    </row>
    <row r="58" spans="1:60" s="109" customFormat="1" ht="17" hidden="1" thickBot="1">
      <c r="C58" s="121" t="s">
        <v>17</v>
      </c>
      <c r="D58" s="122"/>
      <c r="E58" s="131">
        <f>Summary!E120</f>
        <v>874206</v>
      </c>
    </row>
    <row r="59" spans="1:60" s="109" customFormat="1" hidden="1"/>
    <row r="60" spans="1:60" s="109" customFormat="1" ht="17" hidden="1" thickBot="1">
      <c r="C60" s="108" t="s">
        <v>26</v>
      </c>
      <c r="D60" s="108"/>
    </row>
    <row r="61" spans="1:60" s="109" customFormat="1" hidden="1">
      <c r="C61" s="125" t="s">
        <v>13</v>
      </c>
      <c r="D61" s="126"/>
      <c r="E61" s="129" t="s">
        <v>14</v>
      </c>
    </row>
    <row r="62" spans="1:60" s="109" customFormat="1" hidden="1">
      <c r="C62" s="118" t="s">
        <v>30</v>
      </c>
      <c r="E62" s="4">
        <f>IF(F8&lt;&gt;"",F8,E8)</f>
        <v>4</v>
      </c>
    </row>
    <row r="63" spans="1:60" s="109" customFormat="1" hidden="1">
      <c r="C63" s="118" t="s">
        <v>15</v>
      </c>
      <c r="E63" s="5">
        <f>IF(F10&lt;&gt;"",F10,E10)</f>
        <v>1.06E-2</v>
      </c>
    </row>
    <row r="64" spans="1:60" s="109" customFormat="1" hidden="1">
      <c r="C64" s="118" t="s">
        <v>12</v>
      </c>
      <c r="E64" s="134">
        <f>Summary!E126</f>
        <v>2.3444444444444446</v>
      </c>
    </row>
    <row r="65" spans="3:10" s="109" customFormat="1" hidden="1">
      <c r="C65" s="118" t="s">
        <v>18</v>
      </c>
      <c r="E65" s="135">
        <f>Summary!E127</f>
        <v>8.1</v>
      </c>
    </row>
    <row r="66" spans="3:10" s="109" customFormat="1" hidden="1">
      <c r="C66" s="118" t="s">
        <v>28</v>
      </c>
      <c r="E66" s="132">
        <f>Summary!E128</f>
        <v>10.19</v>
      </c>
    </row>
    <row r="67" spans="3:10" s="109" customFormat="1" hidden="1">
      <c r="C67" s="118" t="s">
        <v>32</v>
      </c>
      <c r="E67" s="133">
        <f>Summary!E129</f>
        <v>0.89646149393642471</v>
      </c>
    </row>
    <row r="68" spans="3:10" s="109" customFormat="1" hidden="1">
      <c r="C68" s="118" t="s">
        <v>38</v>
      </c>
      <c r="E68" s="133">
        <f>Summary!E130</f>
        <v>4.3757197008251959E-2</v>
      </c>
    </row>
    <row r="69" spans="3:10" s="109" customFormat="1" hidden="1">
      <c r="C69" s="118" t="s">
        <v>39</v>
      </c>
      <c r="E69" s="133">
        <f>Summary!E131</f>
        <v>5.3745326160136268E-2</v>
      </c>
    </row>
    <row r="70" spans="3:10" s="109" customFormat="1" hidden="1">
      <c r="C70" s="118" t="s">
        <v>33</v>
      </c>
      <c r="E70" s="133">
        <f>Summary!E132</f>
        <v>6.0359828951870587E-3</v>
      </c>
    </row>
    <row r="71" spans="3:10" s="109" customFormat="1" ht="17" hidden="1" thickBot="1">
      <c r="C71" s="121" t="s">
        <v>108</v>
      </c>
      <c r="D71" s="122"/>
      <c r="E71" s="136">
        <f>Summary!E133</f>
        <v>0.18955278148103261</v>
      </c>
    </row>
    <row r="72" spans="3:10" s="109" customFormat="1" hidden="1"/>
    <row r="73" spans="3:10" s="109" customFormat="1" ht="17" hidden="1" thickBot="1">
      <c r="C73" s="108" t="s">
        <v>118</v>
      </c>
      <c r="D73" s="108"/>
    </row>
    <row r="74" spans="3:10" s="109" customFormat="1" hidden="1">
      <c r="C74" s="110"/>
      <c r="D74" s="111"/>
      <c r="E74" s="112" t="s">
        <v>9</v>
      </c>
      <c r="F74" s="111"/>
      <c r="G74" s="111"/>
      <c r="H74" s="112" t="s">
        <v>130</v>
      </c>
      <c r="I74" s="111"/>
      <c r="J74" s="113"/>
    </row>
    <row r="75" spans="3:10" s="109" customFormat="1" ht="34" hidden="1">
      <c r="C75" s="114" t="s">
        <v>8</v>
      </c>
      <c r="D75" s="115"/>
      <c r="E75" s="137" t="s">
        <v>11</v>
      </c>
      <c r="F75" s="138" t="s">
        <v>10</v>
      </c>
      <c r="G75" s="138" t="s">
        <v>157</v>
      </c>
      <c r="H75" s="137" t="s">
        <v>11</v>
      </c>
      <c r="I75" s="138" t="s">
        <v>10</v>
      </c>
      <c r="J75" s="139" t="s">
        <v>157</v>
      </c>
    </row>
    <row r="76" spans="3:10" s="109" customFormat="1" hidden="1">
      <c r="C76" s="118" t="s">
        <v>6</v>
      </c>
      <c r="E76" s="140">
        <f>Summary!E138</f>
        <v>0.85730000000000006</v>
      </c>
      <c r="F76" s="141">
        <f>E76/(E76+E77/$E$64)</f>
        <v>0.95805313587235441</v>
      </c>
      <c r="G76" s="142">
        <f>$E$55*$E$71*$E$67*F76</f>
        <v>11678.31667517616</v>
      </c>
      <c r="H76" s="2">
        <f>IF(F12&lt;&gt;"",F12,E12)</f>
        <v>0.85730000000000006</v>
      </c>
      <c r="I76" s="141">
        <f>H76/(H76+H77/$E$64)</f>
        <v>0.95805313587235441</v>
      </c>
      <c r="J76" s="120">
        <f>H76/E76*G76*(1+$E$63)^$E$62</f>
        <v>12181.40613985747</v>
      </c>
    </row>
    <row r="77" spans="3:10" s="109" customFormat="1" hidden="1">
      <c r="C77" s="118" t="s">
        <v>7</v>
      </c>
      <c r="E77" s="140">
        <f>Summary!E139</f>
        <v>8.8000000000000009E-2</v>
      </c>
      <c r="F77" s="141">
        <f>1-F76</f>
        <v>4.1946864127645589E-2</v>
      </c>
      <c r="G77" s="142">
        <f>$E$55*$E$71*$E$67*F77</f>
        <v>511.31690349009989</v>
      </c>
      <c r="H77" s="140">
        <f>Summary!H139</f>
        <v>8.8000000000000009E-2</v>
      </c>
      <c r="I77" s="141">
        <f>1-I76</f>
        <v>4.1946864127645589E-2</v>
      </c>
      <c r="J77" s="120">
        <f>H77/E77*G77*(1+$E$63)^$E$62</f>
        <v>533.34389200344742</v>
      </c>
    </row>
    <row r="78" spans="3:10" s="109" customFormat="1" hidden="1">
      <c r="C78" s="118" t="s">
        <v>2</v>
      </c>
      <c r="E78" s="140">
        <f>1-E76-E77</f>
        <v>5.4699999999999929E-2</v>
      </c>
      <c r="F78" s="141">
        <v>0</v>
      </c>
      <c r="G78" s="142">
        <f>$E$55*$E$71*$E$67*F78</f>
        <v>0</v>
      </c>
      <c r="H78" s="140">
        <f>1-H76-H77</f>
        <v>5.4699999999999929E-2</v>
      </c>
      <c r="I78" s="141">
        <v>0</v>
      </c>
      <c r="J78" s="120">
        <v>0</v>
      </c>
    </row>
    <row r="79" spans="3:10" s="109" customFormat="1" ht="17" hidden="1" thickBot="1">
      <c r="C79" s="121" t="s">
        <v>4</v>
      </c>
      <c r="D79" s="122"/>
      <c r="E79" s="143">
        <f t="shared" ref="E79:J79" si="0">SUM(E76:E78)</f>
        <v>1</v>
      </c>
      <c r="F79" s="144">
        <f t="shared" si="0"/>
        <v>1</v>
      </c>
      <c r="G79" s="145">
        <f t="shared" si="0"/>
        <v>12189.63357866626</v>
      </c>
      <c r="H79" s="143">
        <f t="shared" si="0"/>
        <v>1</v>
      </c>
      <c r="I79" s="144">
        <f t="shared" si="0"/>
        <v>1</v>
      </c>
      <c r="J79" s="124">
        <f t="shared" si="0"/>
        <v>12714.750031860918</v>
      </c>
    </row>
    <row r="80" spans="3:10" s="109" customFormat="1" hidden="1">
      <c r="E80" s="141"/>
      <c r="F80" s="142"/>
      <c r="G80" s="142"/>
      <c r="H80" s="141"/>
      <c r="I80" s="142"/>
      <c r="J80" s="142"/>
    </row>
    <row r="81" spans="3:14" s="109" customFormat="1" ht="17" hidden="1" thickBot="1">
      <c r="C81" s="108" t="s">
        <v>19</v>
      </c>
      <c r="D81" s="108"/>
    </row>
    <row r="82" spans="3:14" s="109" customFormat="1" hidden="1">
      <c r="C82" s="146"/>
      <c r="D82" s="147"/>
      <c r="E82" s="112" t="s">
        <v>9</v>
      </c>
      <c r="F82" s="147"/>
      <c r="G82" s="147"/>
      <c r="H82" s="147"/>
      <c r="I82" s="147"/>
      <c r="J82" s="112" t="s">
        <v>130</v>
      </c>
      <c r="K82" s="147"/>
      <c r="L82" s="147"/>
      <c r="M82" s="147"/>
      <c r="N82" s="148"/>
    </row>
    <row r="83" spans="3:14" s="109" customFormat="1" hidden="1">
      <c r="C83" s="114" t="s">
        <v>20</v>
      </c>
      <c r="D83" s="115"/>
      <c r="E83" s="116" t="s">
        <v>3</v>
      </c>
      <c r="F83" s="149" t="s">
        <v>152</v>
      </c>
      <c r="G83" s="149" t="s">
        <v>35</v>
      </c>
      <c r="H83" s="149" t="s">
        <v>36</v>
      </c>
      <c r="I83" s="149" t="s">
        <v>4</v>
      </c>
      <c r="J83" s="116" t="s">
        <v>3</v>
      </c>
      <c r="K83" s="149" t="s">
        <v>37</v>
      </c>
      <c r="L83" s="149" t="s">
        <v>35</v>
      </c>
      <c r="M83" s="149" t="s">
        <v>36</v>
      </c>
      <c r="N83" s="117" t="s">
        <v>4</v>
      </c>
    </row>
    <row r="84" spans="3:14" s="109" customFormat="1" hidden="1">
      <c r="C84" s="118" t="s">
        <v>21</v>
      </c>
      <c r="E84" s="150">
        <f>Summary!E146</f>
        <v>22.828282828282831</v>
      </c>
      <c r="F84" s="151">
        <f>Summary!F146</f>
        <v>7.5</v>
      </c>
      <c r="G84" s="151">
        <f>Summary!G146</f>
        <v>6</v>
      </c>
      <c r="H84" s="151">
        <f>Summary!H146</f>
        <v>44</v>
      </c>
      <c r="I84" s="151">
        <f>Summary!I146</f>
        <v>21.380910710156591</v>
      </c>
      <c r="J84" s="3">
        <f>IF(F14&lt;&gt;"",F14,E14)</f>
        <v>22.828282828282831</v>
      </c>
      <c r="K84" s="151">
        <f>Summary!K146</f>
        <v>7.5</v>
      </c>
      <c r="L84" s="151">
        <f>Summary!L146</f>
        <v>6</v>
      </c>
      <c r="M84" s="151">
        <f>Summary!M146</f>
        <v>44</v>
      </c>
      <c r="N84" s="152">
        <f>Summary!N146</f>
        <v>21.380910710156595</v>
      </c>
    </row>
    <row r="85" spans="3:14" s="109" customFormat="1" hidden="1">
      <c r="C85" s="118" t="s">
        <v>22</v>
      </c>
      <c r="E85" s="153">
        <f>Summary!E147</f>
        <v>0.01</v>
      </c>
      <c r="F85" s="154">
        <f>Summary!F147</f>
        <v>0</v>
      </c>
      <c r="G85" s="154">
        <f>Summary!G147</f>
        <v>0</v>
      </c>
      <c r="H85" s="154">
        <f>Summary!H147</f>
        <v>0</v>
      </c>
      <c r="I85" s="155">
        <f>Summary!I147</f>
        <v>8.9646149393642471E-3</v>
      </c>
      <c r="J85" s="1">
        <f>IF(F16&lt;&gt;"",F16,E16)</f>
        <v>0.01</v>
      </c>
      <c r="K85" s="154">
        <f>Summary!K147</f>
        <v>0</v>
      </c>
      <c r="L85" s="154">
        <f>Summary!L147</f>
        <v>0</v>
      </c>
      <c r="M85" s="154">
        <f>Summary!M147</f>
        <v>0</v>
      </c>
      <c r="N85" s="156">
        <f>Summary!N147</f>
        <v>8.9646149393642471E-3</v>
      </c>
    </row>
    <row r="86" spans="3:14" s="109" customFormat="1" ht="17" hidden="1" thickBot="1">
      <c r="C86" s="121" t="s">
        <v>29</v>
      </c>
      <c r="D86" s="122"/>
      <c r="E86" s="157">
        <f>Summary!E148</f>
        <v>0.97938144329896903</v>
      </c>
      <c r="F86" s="158">
        <f>Summary!F148</f>
        <v>0.27638696860276252</v>
      </c>
      <c r="G86" s="158">
        <f>Summary!G148</f>
        <v>0.12962514806842354</v>
      </c>
      <c r="H86" s="158">
        <f>Summary!H148</f>
        <v>1</v>
      </c>
      <c r="I86" s="159">
        <f>Summary!I148</f>
        <v>0.90307439958575075</v>
      </c>
      <c r="J86" s="157">
        <f>Summary!J148</f>
        <v>0.97938144329896903</v>
      </c>
      <c r="K86" s="158">
        <f>Summary!K148</f>
        <v>0.27638696860276252</v>
      </c>
      <c r="L86" s="158">
        <f>Summary!L148</f>
        <v>0.12962514806842354</v>
      </c>
      <c r="M86" s="158">
        <f>Summary!M148</f>
        <v>1</v>
      </c>
      <c r="N86" s="160">
        <f>Summary!N148</f>
        <v>0.90307439958575075</v>
      </c>
    </row>
    <row r="87" spans="3:14" s="109" customFormat="1" hidden="1">
      <c r="E87" s="154"/>
      <c r="F87" s="154"/>
      <c r="G87" s="154"/>
      <c r="H87" s="154"/>
      <c r="I87" s="155"/>
      <c r="J87" s="154"/>
      <c r="K87" s="154"/>
      <c r="L87" s="154"/>
      <c r="M87" s="154"/>
      <c r="N87" s="155"/>
    </row>
    <row r="88" spans="3:14" s="109" customFormat="1" ht="17" hidden="1" thickBot="1">
      <c r="C88" s="108" t="s">
        <v>34</v>
      </c>
      <c r="D88" s="108"/>
      <c r="E88" s="154"/>
      <c r="F88" s="154"/>
      <c r="G88" s="154"/>
      <c r="H88" s="154"/>
      <c r="I88" s="155"/>
      <c r="J88" s="154"/>
      <c r="K88" s="154"/>
      <c r="L88" s="154"/>
      <c r="M88" s="154"/>
      <c r="N88" s="155"/>
    </row>
    <row r="89" spans="3:14" s="109" customFormat="1" hidden="1">
      <c r="C89" s="146"/>
      <c r="D89" s="147"/>
      <c r="E89" s="112" t="s">
        <v>9</v>
      </c>
      <c r="F89" s="147"/>
      <c r="G89" s="147"/>
      <c r="H89" s="147"/>
      <c r="I89" s="147"/>
      <c r="J89" s="112" t="s">
        <v>130</v>
      </c>
      <c r="K89" s="147"/>
      <c r="L89" s="147"/>
      <c r="M89" s="147"/>
      <c r="N89" s="148"/>
    </row>
    <row r="90" spans="3:14" s="109" customFormat="1" hidden="1">
      <c r="C90" s="114" t="s">
        <v>20</v>
      </c>
      <c r="D90" s="115"/>
      <c r="E90" s="116" t="s">
        <v>3</v>
      </c>
      <c r="F90" s="149" t="s">
        <v>152</v>
      </c>
      <c r="G90" s="149" t="s">
        <v>35</v>
      </c>
      <c r="H90" s="149" t="s">
        <v>36</v>
      </c>
      <c r="I90" s="149" t="s">
        <v>4</v>
      </c>
      <c r="J90" s="116" t="s">
        <v>3</v>
      </c>
      <c r="K90" s="149" t="s">
        <v>37</v>
      </c>
      <c r="L90" s="149" t="s">
        <v>35</v>
      </c>
      <c r="M90" s="149" t="s">
        <v>36</v>
      </c>
      <c r="N90" s="117" t="s">
        <v>4</v>
      </c>
    </row>
    <row r="91" spans="3:14" s="109" customFormat="1" hidden="1">
      <c r="C91" s="118" t="s">
        <v>155</v>
      </c>
      <c r="E91" s="119">
        <f>E67*$E$55</f>
        <v>64307.331622490608</v>
      </c>
      <c r="F91" s="142">
        <f>E68*$E$55</f>
        <v>3138.9062418333715</v>
      </c>
      <c r="G91" s="142">
        <f>E69*$E$55</f>
        <v>3855.4009691618844</v>
      </c>
      <c r="H91" s="142">
        <f>E70*$E$55</f>
        <v>432.98898651412969</v>
      </c>
      <c r="I91" s="142">
        <f>SUM(E91:H91)</f>
        <v>71734.627819999994</v>
      </c>
      <c r="J91" s="119">
        <f>J79+$E$67*(1-$E$71)*$E$55*(1+$E$63)^$E$62</f>
        <v>67077.623090079564</v>
      </c>
      <c r="K91" s="142">
        <f>F91*(1+$E$63)^$E$62</f>
        <v>3274.1269850972935</v>
      </c>
      <c r="L91" s="142">
        <f>G91*(1+$E$63)^$E$62</f>
        <v>4021.4875434222286</v>
      </c>
      <c r="M91" s="142">
        <f>H91*(1+$E$63)^$E$62</f>
        <v>451.64169165110621</v>
      </c>
      <c r="N91" s="120">
        <f>SUM(J91:M91)</f>
        <v>74824.879310250195</v>
      </c>
    </row>
    <row r="92" spans="3:14" s="109" customFormat="1" hidden="1">
      <c r="C92" s="118" t="s">
        <v>23</v>
      </c>
      <c r="E92" s="161">
        <f>(1-E85)/E84*E86</f>
        <v>4.2473086397226523E-2</v>
      </c>
      <c r="F92" s="162">
        <f>(1-F85)/F84*F86</f>
        <v>3.6851595813701669E-2</v>
      </c>
      <c r="G92" s="162">
        <f>(1-G85)/G84*G86</f>
        <v>2.1604191344737254E-2</v>
      </c>
      <c r="H92" s="162">
        <f>(1-H85)/H84*H86</f>
        <v>2.2727272727272728E-2</v>
      </c>
      <c r="I92" s="162">
        <f>SUMPRODUCT(E92:H92,E$91:H$91)/I$91</f>
        <v>4.0986314761522105E-2</v>
      </c>
      <c r="J92" s="161">
        <f>(1-J85)/J84*J86</f>
        <v>4.2473086397226523E-2</v>
      </c>
      <c r="K92" s="162">
        <f>(1-K85)/K84*K86</f>
        <v>3.6851595813701669E-2</v>
      </c>
      <c r="L92" s="162">
        <f>(1-L85)/L84*L86</f>
        <v>2.1604191344737254E-2</v>
      </c>
      <c r="M92" s="162">
        <f>(1-M85)/M84*M86</f>
        <v>2.2727272727272728E-2</v>
      </c>
      <c r="N92" s="163">
        <f>SUMPRODUCT(J92:M92,J$91:M$91)/N$91</f>
        <v>4.0986314761522112E-2</v>
      </c>
    </row>
    <row r="93" spans="3:14" s="109" customFormat="1" ht="17" hidden="1" thickBot="1">
      <c r="C93" s="121" t="s">
        <v>24</v>
      </c>
      <c r="D93" s="122"/>
      <c r="E93" s="164">
        <f>(1-E85)/E84*(1-E86)</f>
        <v>8.9417023994161271E-4</v>
      </c>
      <c r="F93" s="165">
        <f>(1-F85)/F84*(1-F86)</f>
        <v>9.6481737519631669E-2</v>
      </c>
      <c r="G93" s="165">
        <f>(1-G85)/G84*(1-G86)</f>
        <v>0.1450624753219294</v>
      </c>
      <c r="H93" s="165">
        <f>(1-H85)/H84*(1-H86)</f>
        <v>0</v>
      </c>
      <c r="I93" s="165">
        <f>SUMPRODUCT(E93:H93,E$91:H$91)/I$91</f>
        <v>1.2819789635250338E-2</v>
      </c>
      <c r="J93" s="164">
        <f>(1-J85)/J84*(1-J86)</f>
        <v>8.9417023994161271E-4</v>
      </c>
      <c r="K93" s="165">
        <f>(1-K85)/K84*(1-K86)</f>
        <v>9.6481737519631669E-2</v>
      </c>
      <c r="L93" s="165">
        <f>(1-L85)/L84*(1-L86)</f>
        <v>0.1450624753219294</v>
      </c>
      <c r="M93" s="165">
        <f>(1-M85)/M84*(1-M86)</f>
        <v>0</v>
      </c>
      <c r="N93" s="166">
        <f>SUMPRODUCT(J93:M93,J$91:M$91)/N$91</f>
        <v>1.281978963525034E-2</v>
      </c>
    </row>
    <row r="94" spans="3:14" s="109" customFormat="1" hidden="1"/>
    <row r="95" spans="3:14" s="109" customFormat="1" ht="17" hidden="1" thickBot="1">
      <c r="C95" s="17" t="s">
        <v>121</v>
      </c>
      <c r="D95" s="6"/>
      <c r="E95" s="6"/>
      <c r="F95" s="6"/>
    </row>
    <row r="96" spans="3:14" s="109" customFormat="1" hidden="1">
      <c r="C96" s="110"/>
      <c r="D96" s="111"/>
      <c r="E96" s="112" t="s">
        <v>25</v>
      </c>
      <c r="F96" s="113"/>
    </row>
    <row r="97" spans="3:6" s="109" customFormat="1" hidden="1">
      <c r="C97" s="114" t="s">
        <v>0</v>
      </c>
      <c r="D97" s="115"/>
      <c r="E97" s="116" t="s">
        <v>9</v>
      </c>
      <c r="F97" s="117" t="s">
        <v>130</v>
      </c>
    </row>
    <row r="98" spans="3:6" s="109" customFormat="1" hidden="1">
      <c r="C98" s="118" t="s">
        <v>1</v>
      </c>
      <c r="E98" s="119">
        <f>E57*E65</f>
        <v>21543181.199999999</v>
      </c>
      <c r="F98" s="120">
        <f>E98*N92/I92*N$91/I$91</f>
        <v>22471238.538989484</v>
      </c>
    </row>
    <row r="99" spans="3:6" s="109" customFormat="1" ht="17" hidden="1" thickBot="1">
      <c r="C99" s="121" t="s">
        <v>5</v>
      </c>
      <c r="D99" s="122"/>
      <c r="E99" s="123">
        <f>E58*E66</f>
        <v>8908159.1399999987</v>
      </c>
      <c r="F99" s="124">
        <f>E99*N93/I93*N$91/I$91</f>
        <v>9291913.1636055391</v>
      </c>
    </row>
    <row r="100" spans="3:6" customFormat="1">
      <c r="C100" s="7"/>
      <c r="D100" s="7"/>
      <c r="E100" s="7"/>
      <c r="F100" s="7"/>
    </row>
    <row r="101" spans="3:6" customFormat="1">
      <c r="C101" s="7"/>
      <c r="D101" s="7"/>
      <c r="E101" s="7"/>
      <c r="F101" s="7"/>
    </row>
  </sheetData>
  <sheetProtection sheet="1" objects="1" scenarios="1"/>
  <dataValidations count="1">
    <dataValidation type="list" allowBlank="1" showInputMessage="1" showErrorMessage="1" sqref="E9:F9 E11:F11" xr:uid="{D7A6FDED-CC40-FE41-AAC6-F90FD9522EE8}">
      <formula1>#REF!</formula1>
    </dataValidation>
  </dataValidations>
  <pageMargins left="0.75" right="0.75" top="1" bottom="1" header="0.5" footer="0.5"/>
  <pageSetup orientation="portrait" horizontalDpi="4294967292" verticalDpi="4294967292"/>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0B921-85AE-EC46-A22B-0D4194593157}">
  <sheetPr>
    <tabColor theme="4" tint="0.79998168889431442"/>
  </sheetPr>
  <dimension ref="A1:BW100"/>
  <sheetViews>
    <sheetView workbookViewId="0">
      <selection activeCell="A38" sqref="A38:XFD100"/>
    </sheetView>
  </sheetViews>
  <sheetFormatPr baseColWidth="10" defaultRowHeight="16"/>
  <cols>
    <col min="1" max="1" width="2.33203125" customWidth="1"/>
    <col min="2" max="2" width="4.83203125" customWidth="1"/>
    <col min="4" max="11" width="11" bestFit="1" customWidth="1"/>
    <col min="12" max="12" width="4.83203125" customWidth="1"/>
    <col min="13" max="25" width="11" bestFit="1" customWidth="1"/>
    <col min="26" max="29" width="12.83203125" bestFit="1" customWidth="1"/>
    <col min="30" max="30" width="14" bestFit="1" customWidth="1"/>
    <col min="31" max="36" width="12.83203125" bestFit="1" customWidth="1"/>
    <col min="37" max="40" width="11.6640625" bestFit="1" customWidth="1"/>
    <col min="41" max="41" width="12.83203125" bestFit="1" customWidth="1"/>
    <col min="42" max="47" width="11.6640625" bestFit="1" customWidth="1"/>
    <col min="48" max="68" width="11.6640625" customWidth="1"/>
    <col min="69" max="69" width="11.6640625" bestFit="1" customWidth="1"/>
    <col min="70" max="70" width="11.6640625" customWidth="1"/>
    <col min="72" max="74" width="11" bestFit="1" customWidth="1"/>
  </cols>
  <sheetData>
    <row r="1" spans="1:60" s="7"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60" s="13" customFormat="1" ht="24">
      <c r="A2" s="8"/>
      <c r="B2" s="9"/>
      <c r="C2" s="10" t="str">
        <f>Summary!C2</f>
        <v>DRAFT AASHTO State-Level Transportation GHG Calculator</v>
      </c>
      <c r="D2" s="11"/>
      <c r="E2" s="11"/>
      <c r="F2" s="11"/>
      <c r="G2" s="11"/>
      <c r="H2" s="9"/>
      <c r="I2" s="9"/>
      <c r="J2" s="9"/>
      <c r="K2" s="9"/>
      <c r="L2" s="9"/>
      <c r="M2" s="9"/>
      <c r="N2" s="9"/>
      <c r="O2" s="9"/>
      <c r="P2" s="9"/>
      <c r="Q2" s="9"/>
      <c r="R2" s="9"/>
      <c r="S2" s="9"/>
      <c r="T2" s="9"/>
      <c r="U2" s="9"/>
      <c r="V2" s="12"/>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spans="1:60" s="13" customFormat="1" ht="24">
      <c r="A3" s="8"/>
      <c r="B3" s="9"/>
      <c r="C3" s="222" t="s">
        <v>148</v>
      </c>
      <c r="D3" s="222"/>
      <c r="E3" s="11"/>
      <c r="F3" s="11"/>
      <c r="G3" s="11"/>
      <c r="H3" s="9"/>
      <c r="I3" s="9"/>
      <c r="J3" s="9"/>
      <c r="K3" s="9"/>
      <c r="L3" s="9"/>
      <c r="M3" s="9"/>
      <c r="N3" s="9"/>
      <c r="O3" s="9"/>
      <c r="P3" s="9"/>
      <c r="Q3" s="9"/>
      <c r="R3" s="9"/>
      <c r="S3" s="9"/>
      <c r="T3" s="9"/>
      <c r="U3" s="9"/>
      <c r="V3" s="12" t="str">
        <f>Summary!P3</f>
        <v>last modified: 10/11/22</v>
      </c>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row>
    <row r="4" spans="1:60" s="109" customFormat="1"/>
    <row r="5" spans="1:60" s="109" customFormat="1">
      <c r="C5" s="108" t="s">
        <v>146</v>
      </c>
      <c r="M5" s="108" t="s">
        <v>147</v>
      </c>
    </row>
    <row r="6" spans="1:60" s="7" customFormat="1" ht="4.5" customHeight="1">
      <c r="A6" s="6"/>
      <c r="B6" s="6"/>
      <c r="C6" s="16"/>
      <c r="D6" s="16"/>
      <c r="E6" s="24"/>
      <c r="F6" s="24"/>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25"/>
      <c r="BG6" s="26"/>
      <c r="BH6" s="6"/>
    </row>
    <row r="7" spans="1:60" s="109" customFormat="1">
      <c r="C7" s="175" t="s">
        <v>51</v>
      </c>
      <c r="D7" s="223" t="s">
        <v>52</v>
      </c>
      <c r="E7" s="224"/>
      <c r="M7" s="175" t="s">
        <v>51</v>
      </c>
      <c r="N7" s="223" t="s">
        <v>52</v>
      </c>
      <c r="O7" s="224"/>
    </row>
    <row r="8" spans="1:60" s="7" customFormat="1" ht="4.5" customHeight="1">
      <c r="A8" s="6"/>
      <c r="B8" s="6"/>
      <c r="C8" s="16"/>
      <c r="D8" s="16"/>
      <c r="E8" s="24"/>
      <c r="F8" s="24"/>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25"/>
      <c r="BG8" s="26"/>
      <c r="BH8" s="6"/>
    </row>
    <row r="9" spans="1:60" s="109" customFormat="1">
      <c r="C9" s="175" t="s">
        <v>144</v>
      </c>
      <c r="D9" s="223" t="s">
        <v>155</v>
      </c>
      <c r="E9" s="224"/>
      <c r="M9" s="175" t="s">
        <v>144</v>
      </c>
      <c r="N9" s="223" t="s">
        <v>140</v>
      </c>
      <c r="O9" s="224"/>
    </row>
    <row r="10" spans="1:60" s="7" customFormat="1" ht="4.5" customHeight="1">
      <c r="A10" s="6"/>
      <c r="B10" s="6"/>
      <c r="C10" s="16"/>
      <c r="D10" s="16"/>
      <c r="E10" s="24"/>
      <c r="F10" s="24"/>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25"/>
      <c r="BG10" s="26"/>
      <c r="BH10" s="6"/>
    </row>
    <row r="11" spans="1:60" s="109" customFormat="1">
      <c r="C11" s="175" t="s">
        <v>145</v>
      </c>
      <c r="D11" s="223" t="s">
        <v>156</v>
      </c>
      <c r="E11" s="224"/>
      <c r="M11" s="175" t="s">
        <v>145</v>
      </c>
      <c r="N11" s="223" t="s">
        <v>141</v>
      </c>
      <c r="O11" s="224"/>
    </row>
    <row r="12" spans="1:60" s="109" customFormat="1"/>
    <row r="13" spans="1:60" s="109" customFormat="1">
      <c r="D13" s="109" t="s">
        <v>143</v>
      </c>
      <c r="E13" s="109">
        <f>IF(D9=$C$94,2,IF(D9=$C$95,13,IF(D9=$C$96,24,IF(D9=$C$97,35,IF(D9=$C$98,46,57)))))</f>
        <v>2</v>
      </c>
      <c r="F13" s="109">
        <f>IF(D11=$C$94,2,IF(D11=$C$95,13,IF(D11=$C$96,24,IF(D11=$C$97,35,IF(D11=$C$98,46,57)))))</f>
        <v>13</v>
      </c>
      <c r="N13" s="109" t="s">
        <v>143</v>
      </c>
      <c r="O13" s="109">
        <f>IF(N9=$C$94,2,IF(N9=$C$95,13,IF(N9=$C$96,24,IF(N9=$C$97,35,IF(N9=$C$98,46,57)))))</f>
        <v>46</v>
      </c>
      <c r="P13" s="109">
        <f>IF(N11=$C$94,2,IF(N11=$C$95,13,IF(N11=$C$96,24,IF(N11=$C$97,35,IF(N11=$C$98,46,57)))))</f>
        <v>57</v>
      </c>
    </row>
    <row r="14" spans="1:60" s="109" customFormat="1">
      <c r="D14" s="109" t="s">
        <v>135</v>
      </c>
      <c r="N14" s="109" t="s">
        <v>135</v>
      </c>
    </row>
    <row r="15" spans="1:60" s="109" customFormat="1">
      <c r="D15" s="177">
        <v>2011</v>
      </c>
      <c r="E15" s="142">
        <f t="shared" ref="E15:E24" si="0">VLOOKUP(D$7,$C$41:$BQ$91,E$13+$D15-2010)</f>
        <v>64914.112000000001</v>
      </c>
      <c r="F15" s="142">
        <f t="shared" ref="F15:F24" si="1">VLOOKUP(D$7,$C$41:$BQ$91,F$13+$D15-2010)</f>
        <v>24775.473999999998</v>
      </c>
      <c r="N15" s="177">
        <v>2011</v>
      </c>
      <c r="O15" s="142">
        <f t="shared" ref="O15:O24" si="2">VLOOKUP(N$7,$C$41:$BQ$91,O$13+$D15-2010)</f>
        <v>28190132.909999996</v>
      </c>
      <c r="P15" s="142">
        <f t="shared" ref="P15:P24" si="3">VLOOKUP(N$7,$C$41:$BQ$91,P$13+$D15-2010)</f>
        <v>10759199.863478824</v>
      </c>
    </row>
    <row r="16" spans="1:60" s="109" customFormat="1">
      <c r="D16" s="177">
        <v>2012</v>
      </c>
      <c r="E16" s="142">
        <f t="shared" si="0"/>
        <v>64959.172068173997</v>
      </c>
      <c r="F16" s="142">
        <f t="shared" si="1"/>
        <v>28170.491974361998</v>
      </c>
      <c r="N16" s="177">
        <v>2012</v>
      </c>
      <c r="O16" s="142">
        <f t="shared" si="2"/>
        <v>27868962.496069998</v>
      </c>
      <c r="P16" s="142">
        <f t="shared" si="3"/>
        <v>12085781.873965377</v>
      </c>
    </row>
    <row r="17" spans="4:16" s="109" customFormat="1">
      <c r="D17" s="177">
        <v>2013</v>
      </c>
      <c r="E17" s="142">
        <f t="shared" si="0"/>
        <v>65046.483919999999</v>
      </c>
      <c r="F17" s="142">
        <f t="shared" si="1"/>
        <v>28146.439870000002</v>
      </c>
      <c r="N17" s="177">
        <v>2013</v>
      </c>
      <c r="O17" s="142">
        <f t="shared" si="2"/>
        <v>27916279.380000003</v>
      </c>
      <c r="P17" s="142">
        <f t="shared" si="3"/>
        <v>12079728.704931527</v>
      </c>
    </row>
    <row r="18" spans="4:16" s="109" customFormat="1">
      <c r="D18" s="177">
        <v>2014</v>
      </c>
      <c r="E18" s="142">
        <f t="shared" si="0"/>
        <v>65666.604321349994</v>
      </c>
      <c r="F18" s="142">
        <f t="shared" si="1"/>
        <v>28704.621666389998</v>
      </c>
      <c r="N18" s="177">
        <v>2014</v>
      </c>
      <c r="O18" s="142">
        <f t="shared" si="2"/>
        <v>28498071.899999999</v>
      </c>
      <c r="P18" s="142">
        <f t="shared" si="3"/>
        <v>12457266.224821638</v>
      </c>
    </row>
    <row r="19" spans="4:16" s="109" customFormat="1">
      <c r="D19" s="177">
        <v>2015</v>
      </c>
      <c r="E19" s="142">
        <f t="shared" si="0"/>
        <v>67257.004650000003</v>
      </c>
      <c r="F19" s="142">
        <f t="shared" si="1"/>
        <v>29554.686430000002</v>
      </c>
      <c r="N19" s="177">
        <v>2015</v>
      </c>
      <c r="O19" s="142">
        <f t="shared" si="2"/>
        <v>28725761.669999998</v>
      </c>
      <c r="P19" s="142">
        <f t="shared" si="3"/>
        <v>12622936.198806219</v>
      </c>
    </row>
    <row r="20" spans="4:16" s="109" customFormat="1">
      <c r="D20" s="177">
        <v>2016</v>
      </c>
      <c r="E20" s="142">
        <f t="shared" si="0"/>
        <v>69226.970799999996</v>
      </c>
      <c r="F20" s="142">
        <f t="shared" si="1"/>
        <v>30637.62817</v>
      </c>
      <c r="N20" s="177">
        <v>2016</v>
      </c>
      <c r="O20" s="142">
        <f t="shared" si="2"/>
        <v>30722327.77</v>
      </c>
      <c r="P20" s="142">
        <f t="shared" si="3"/>
        <v>13596713.013103923</v>
      </c>
    </row>
    <row r="21" spans="4:16" s="109" customFormat="1">
      <c r="D21" s="177">
        <v>2017</v>
      </c>
      <c r="E21" s="142">
        <f t="shared" si="0"/>
        <v>70677.248200000002</v>
      </c>
      <c r="F21" s="142">
        <f t="shared" si="1"/>
        <v>31151.70854</v>
      </c>
      <c r="N21" s="177">
        <v>2017</v>
      </c>
      <c r="O21" s="142">
        <f t="shared" si="2"/>
        <v>29665896.696597934</v>
      </c>
      <c r="P21" s="142">
        <f t="shared" si="3"/>
        <v>13075542.568593772</v>
      </c>
    </row>
    <row r="22" spans="4:16" s="109" customFormat="1">
      <c r="D22" s="177">
        <v>2018</v>
      </c>
      <c r="E22" s="142">
        <f t="shared" si="0"/>
        <v>71167.206749999998</v>
      </c>
      <c r="F22" s="142">
        <f t="shared" si="1"/>
        <v>31129.191140000003</v>
      </c>
      <c r="N22" s="177">
        <v>2018</v>
      </c>
      <c r="O22" s="142">
        <f t="shared" si="2"/>
        <v>29497681.146753337</v>
      </c>
      <c r="P22" s="142">
        <f t="shared" si="3"/>
        <v>12902557.182407038</v>
      </c>
    </row>
    <row r="23" spans="4:16" s="109" customFormat="1">
      <c r="D23" s="177">
        <v>2019</v>
      </c>
      <c r="E23" s="142">
        <f t="shared" si="0"/>
        <v>71734.627819999994</v>
      </c>
      <c r="F23" s="142">
        <f t="shared" si="1"/>
        <v>31565.333989999999</v>
      </c>
      <c r="N23" s="177">
        <v>2019</v>
      </c>
      <c r="O23" s="142">
        <f t="shared" si="2"/>
        <v>30451346.009683277</v>
      </c>
      <c r="P23" s="142">
        <f t="shared" si="3"/>
        <v>13399482.738693696</v>
      </c>
    </row>
    <row r="24" spans="4:16" s="109" customFormat="1">
      <c r="D24" s="177">
        <v>2020</v>
      </c>
      <c r="E24" s="142">
        <f t="shared" si="0"/>
        <v>67921.496840000007</v>
      </c>
      <c r="F24" s="142">
        <f t="shared" si="1"/>
        <v>29264.86521</v>
      </c>
      <c r="N24" s="177">
        <v>2020</v>
      </c>
      <c r="O24" s="142">
        <f t="shared" si="2"/>
        <v>30689035.552151814</v>
      </c>
      <c r="P24" s="142">
        <f t="shared" si="3"/>
        <v>13222772.327504268</v>
      </c>
    </row>
    <row r="25" spans="4:16" s="109" customFormat="1"/>
    <row r="26" spans="4:16" s="109" customFormat="1"/>
    <row r="27" spans="4:16" s="109" customFormat="1"/>
    <row r="28" spans="4:16" s="109" customFormat="1"/>
    <row r="29" spans="4:16" s="109" customFormat="1"/>
    <row r="30" spans="4:16" s="109" customFormat="1"/>
    <row r="31" spans="4:16" s="109" customFormat="1"/>
    <row r="32" spans="4:16" s="109" customFormat="1"/>
    <row r="33" spans="3:75" s="109" customFormat="1"/>
    <row r="34" spans="3:75" s="109" customFormat="1"/>
    <row r="35" spans="3:75" s="109" customFormat="1"/>
    <row r="36" spans="3:75" s="109" customFormat="1"/>
    <row r="37" spans="3:75" s="109" customFormat="1"/>
    <row r="38" spans="3:75" s="109" customFormat="1" ht="17" hidden="1" thickBot="1">
      <c r="C38" s="108" t="s">
        <v>136</v>
      </c>
    </row>
    <row r="39" spans="3:75" s="109" customFormat="1" hidden="1">
      <c r="C39" s="110"/>
      <c r="D39" s="112" t="s">
        <v>155</v>
      </c>
      <c r="E39" s="111"/>
      <c r="F39" s="111"/>
      <c r="G39" s="111"/>
      <c r="H39" s="111"/>
      <c r="I39" s="111"/>
      <c r="J39" s="111"/>
      <c r="K39" s="111"/>
      <c r="L39" s="111"/>
      <c r="M39" s="111"/>
      <c r="N39" s="111"/>
      <c r="O39" s="112" t="s">
        <v>156</v>
      </c>
      <c r="P39" s="111"/>
      <c r="Q39" s="111"/>
      <c r="R39" s="111"/>
      <c r="S39" s="111"/>
      <c r="T39" s="111"/>
      <c r="U39" s="111"/>
      <c r="V39" s="111"/>
      <c r="W39" s="111"/>
      <c r="X39" s="111"/>
      <c r="Y39" s="111"/>
      <c r="Z39" s="112" t="s">
        <v>16</v>
      </c>
      <c r="AA39" s="111"/>
      <c r="AB39" s="111"/>
      <c r="AC39" s="111"/>
      <c r="AD39" s="111"/>
      <c r="AE39" s="111"/>
      <c r="AF39" s="111"/>
      <c r="AG39" s="111"/>
      <c r="AH39" s="111"/>
      <c r="AI39" s="111"/>
      <c r="AJ39" s="111"/>
      <c r="AK39" s="112" t="s">
        <v>137</v>
      </c>
      <c r="AL39" s="111"/>
      <c r="AM39" s="111"/>
      <c r="AN39" s="111"/>
      <c r="AO39" s="111"/>
      <c r="AP39" s="111"/>
      <c r="AQ39" s="111"/>
      <c r="AR39" s="111"/>
      <c r="AS39" s="111"/>
      <c r="AT39" s="111"/>
      <c r="AU39" s="111"/>
      <c r="AV39" s="112" t="s">
        <v>138</v>
      </c>
      <c r="AW39" s="111"/>
      <c r="AX39" s="111"/>
      <c r="AY39" s="111"/>
      <c r="AZ39" s="111"/>
      <c r="BA39" s="111"/>
      <c r="BB39" s="111"/>
      <c r="BC39" s="111"/>
      <c r="BD39" s="111"/>
      <c r="BE39" s="111"/>
      <c r="BF39" s="111"/>
      <c r="BG39" s="112" t="s">
        <v>139</v>
      </c>
      <c r="BH39" s="111"/>
      <c r="BI39" s="111"/>
      <c r="BJ39" s="111"/>
      <c r="BK39" s="111"/>
      <c r="BL39" s="111"/>
      <c r="BM39" s="111"/>
      <c r="BN39" s="111"/>
      <c r="BO39" s="111"/>
      <c r="BP39" s="111"/>
      <c r="BQ39" s="113"/>
    </row>
    <row r="40" spans="3:75" s="109" customFormat="1" hidden="1">
      <c r="C40" s="114" t="s">
        <v>51</v>
      </c>
      <c r="D40" s="178">
        <v>2010</v>
      </c>
      <c r="E40" s="115">
        <v>2011</v>
      </c>
      <c r="F40" s="115">
        <v>2012</v>
      </c>
      <c r="G40" s="115">
        <v>2013</v>
      </c>
      <c r="H40" s="115">
        <v>2014</v>
      </c>
      <c r="I40" s="115">
        <v>2015</v>
      </c>
      <c r="J40" s="115">
        <v>2016</v>
      </c>
      <c r="K40" s="115">
        <v>2017</v>
      </c>
      <c r="L40" s="115">
        <v>2018</v>
      </c>
      <c r="M40" s="115">
        <v>2019</v>
      </c>
      <c r="N40" s="115">
        <v>2020</v>
      </c>
      <c r="O40" s="178">
        <v>2010</v>
      </c>
      <c r="P40" s="115">
        <v>2011</v>
      </c>
      <c r="Q40" s="115">
        <v>2012</v>
      </c>
      <c r="R40" s="115">
        <v>2013</v>
      </c>
      <c r="S40" s="115">
        <v>2014</v>
      </c>
      <c r="T40" s="115">
        <v>2015</v>
      </c>
      <c r="U40" s="115">
        <v>2016</v>
      </c>
      <c r="V40" s="115">
        <v>2017</v>
      </c>
      <c r="W40" s="115">
        <v>2018</v>
      </c>
      <c r="X40" s="115">
        <v>2019</v>
      </c>
      <c r="Y40" s="115">
        <v>2020</v>
      </c>
      <c r="Z40" s="178">
        <v>2010</v>
      </c>
      <c r="AA40" s="115">
        <v>2011</v>
      </c>
      <c r="AB40" s="115">
        <v>2012</v>
      </c>
      <c r="AC40" s="115">
        <v>2013</v>
      </c>
      <c r="AD40" s="115">
        <v>2014</v>
      </c>
      <c r="AE40" s="115">
        <v>2015</v>
      </c>
      <c r="AF40" s="115">
        <v>2016</v>
      </c>
      <c r="AG40" s="115">
        <v>2017</v>
      </c>
      <c r="AH40" s="115">
        <v>2018</v>
      </c>
      <c r="AI40" s="115">
        <v>2019</v>
      </c>
      <c r="AJ40" s="115">
        <v>2020</v>
      </c>
      <c r="AK40" s="178">
        <v>2010</v>
      </c>
      <c r="AL40" s="115">
        <v>2011</v>
      </c>
      <c r="AM40" s="115">
        <v>2012</v>
      </c>
      <c r="AN40" s="115">
        <v>2013</v>
      </c>
      <c r="AO40" s="115">
        <v>2014</v>
      </c>
      <c r="AP40" s="115">
        <v>2015</v>
      </c>
      <c r="AQ40" s="115">
        <v>2016</v>
      </c>
      <c r="AR40" s="115">
        <v>2017</v>
      </c>
      <c r="AS40" s="115">
        <v>2018</v>
      </c>
      <c r="AT40" s="115">
        <v>2019</v>
      </c>
      <c r="AU40" s="115">
        <v>2020</v>
      </c>
      <c r="AV40" s="178">
        <v>2010</v>
      </c>
      <c r="AW40" s="115">
        <v>2011</v>
      </c>
      <c r="AX40" s="115">
        <v>2012</v>
      </c>
      <c r="AY40" s="115">
        <v>2013</v>
      </c>
      <c r="AZ40" s="115">
        <v>2014</v>
      </c>
      <c r="BA40" s="115">
        <v>2015</v>
      </c>
      <c r="BB40" s="115">
        <v>2016</v>
      </c>
      <c r="BC40" s="115">
        <v>2017</v>
      </c>
      <c r="BD40" s="115">
        <v>2018</v>
      </c>
      <c r="BE40" s="115">
        <v>2019</v>
      </c>
      <c r="BF40" s="115">
        <v>2020</v>
      </c>
      <c r="BG40" s="178">
        <v>2010</v>
      </c>
      <c r="BH40" s="115">
        <v>2011</v>
      </c>
      <c r="BI40" s="115">
        <v>2012</v>
      </c>
      <c r="BJ40" s="115">
        <v>2013</v>
      </c>
      <c r="BK40" s="115">
        <v>2014</v>
      </c>
      <c r="BL40" s="115">
        <v>2015</v>
      </c>
      <c r="BM40" s="115">
        <v>2016</v>
      </c>
      <c r="BN40" s="115">
        <v>2017</v>
      </c>
      <c r="BO40" s="115">
        <v>2018</v>
      </c>
      <c r="BP40" s="115">
        <v>2019</v>
      </c>
      <c r="BQ40" s="179">
        <v>2020</v>
      </c>
    </row>
    <row r="41" spans="3:75" s="109" customFormat="1" hidden="1">
      <c r="C41" s="180" t="s">
        <v>52</v>
      </c>
      <c r="D41" s="181">
        <v>64165.148637874998</v>
      </c>
      <c r="E41" s="182">
        <v>64914.112000000001</v>
      </c>
      <c r="F41" s="182">
        <v>64959.172068173997</v>
      </c>
      <c r="G41" s="182">
        <v>65046.483919999999</v>
      </c>
      <c r="H41" s="182">
        <v>65666.604321349994</v>
      </c>
      <c r="I41" s="182">
        <v>67257.004650000003</v>
      </c>
      <c r="J41" s="182">
        <v>69226.970799999996</v>
      </c>
      <c r="K41" s="182">
        <v>70677.248200000002</v>
      </c>
      <c r="L41" s="182">
        <v>71167.206749999998</v>
      </c>
      <c r="M41" s="182">
        <v>71734.627819999994</v>
      </c>
      <c r="N41" s="182">
        <v>67921.496840000007</v>
      </c>
      <c r="O41" s="183"/>
      <c r="P41" s="182">
        <v>24775.473999999998</v>
      </c>
      <c r="Q41" s="182">
        <v>28170.491974361998</v>
      </c>
      <c r="R41" s="182">
        <v>28146.439870000002</v>
      </c>
      <c r="S41" s="182">
        <v>28704.621666389998</v>
      </c>
      <c r="T41" s="182">
        <v>29554.686430000002</v>
      </c>
      <c r="U41" s="182">
        <v>30637.62817</v>
      </c>
      <c r="V41" s="182">
        <v>31151.70854</v>
      </c>
      <c r="W41" s="182">
        <v>31129.191140000003</v>
      </c>
      <c r="X41" s="182">
        <v>31565.333989999999</v>
      </c>
      <c r="Y41" s="182">
        <v>29264.86521</v>
      </c>
      <c r="Z41" s="184">
        <v>2595316</v>
      </c>
      <c r="AA41" s="185">
        <v>2538696</v>
      </c>
      <c r="AB41" s="185">
        <v>2521069</v>
      </c>
      <c r="AC41" s="185">
        <v>2519753</v>
      </c>
      <c r="AD41" s="185">
        <v>2537927</v>
      </c>
      <c r="AE41" s="185">
        <v>2504176</v>
      </c>
      <c r="AF41" s="185">
        <v>2580392</v>
      </c>
      <c r="AG41" s="185">
        <v>2540807.8576046834</v>
      </c>
      <c r="AH41" s="185">
        <v>2560417.2950967085</v>
      </c>
      <c r="AI41" s="186">
        <v>2659652.2885868242</v>
      </c>
      <c r="AJ41" s="185">
        <v>2702225.2414520755</v>
      </c>
      <c r="AK41" s="184">
        <v>746135.58100000001</v>
      </c>
      <c r="AL41" s="185">
        <v>748449</v>
      </c>
      <c r="AM41" s="185">
        <v>730942.45299999998</v>
      </c>
      <c r="AN41" s="185">
        <v>736632</v>
      </c>
      <c r="AO41" s="187">
        <v>779280</v>
      </c>
      <c r="AP41" s="187">
        <v>828453</v>
      </c>
      <c r="AQ41" s="185">
        <v>963803</v>
      </c>
      <c r="AR41" s="185">
        <v>891595</v>
      </c>
      <c r="AS41" s="185">
        <v>859499.61300000001</v>
      </c>
      <c r="AT41" s="186">
        <v>874206.32700000005</v>
      </c>
      <c r="AU41" s="185">
        <v>863690.98100000003</v>
      </c>
      <c r="AV41" s="188">
        <f>Z41*Summary!$E$127+Trends!AK41*Summary!$E$128</f>
        <v>28625181.170389999</v>
      </c>
      <c r="AW41" s="186">
        <f>AA41*Summary!$E$127+Trends!AL41*Summary!$E$128</f>
        <v>28190132.909999996</v>
      </c>
      <c r="AX41" s="186">
        <f>AB41*Summary!$E$127+Trends!AM41*Summary!$E$128</f>
        <v>27868962.496069998</v>
      </c>
      <c r="AY41" s="186">
        <f>AC41*Summary!$E$127+Trends!AN41*Summary!$E$128</f>
        <v>27916279.380000003</v>
      </c>
      <c r="AZ41" s="186">
        <f>AD41*Summary!$E$127+Trends!AO41*Summary!$E$128</f>
        <v>28498071.899999999</v>
      </c>
      <c r="BA41" s="186">
        <f>AE41*Summary!$E$127+Trends!AP41*Summary!$E$128</f>
        <v>28725761.669999998</v>
      </c>
      <c r="BB41" s="186">
        <f>AF41*Summary!$E$127+Trends!AQ41*Summary!$E$128</f>
        <v>30722327.77</v>
      </c>
      <c r="BC41" s="186">
        <f>AG41*Summary!$E$127+Trends!AR41*Summary!$E$128</f>
        <v>29665896.696597934</v>
      </c>
      <c r="BD41" s="186">
        <f>AH41*Summary!$E$127+Trends!AS41*Summary!$E$128</f>
        <v>29497681.146753337</v>
      </c>
      <c r="BE41" s="186">
        <f>AI41*Summary!$E$127+Trends!AT41*Summary!$E$128</f>
        <v>30451346.009683277</v>
      </c>
      <c r="BF41" s="186">
        <f>AJ41*Summary!$E$127+Trends!AU41*Summary!$E$128</f>
        <v>30689035.552151814</v>
      </c>
      <c r="BG41" s="188"/>
      <c r="BH41" s="186">
        <f t="shared" ref="BH41:BH91" si="4">AW41*P41/E41</f>
        <v>10759199.863478824</v>
      </c>
      <c r="BI41" s="186">
        <f t="shared" ref="BI41:BI91" si="5">AX41*Q41/F41</f>
        <v>12085781.873965377</v>
      </c>
      <c r="BJ41" s="186">
        <f t="shared" ref="BJ41:BJ91" si="6">AY41*R41/G41</f>
        <v>12079728.704931527</v>
      </c>
      <c r="BK41" s="186">
        <f t="shared" ref="BK41:BK91" si="7">AZ41*S41/H41</f>
        <v>12457266.224821638</v>
      </c>
      <c r="BL41" s="186">
        <f t="shared" ref="BL41:BL91" si="8">BA41*T41/I41</f>
        <v>12622936.198806219</v>
      </c>
      <c r="BM41" s="186">
        <f t="shared" ref="BM41:BM91" si="9">BB41*U41/J41</f>
        <v>13596713.013103923</v>
      </c>
      <c r="BN41" s="186">
        <f t="shared" ref="BN41:BN91" si="10">BC41*V41/K41</f>
        <v>13075542.568593772</v>
      </c>
      <c r="BO41" s="186">
        <f t="shared" ref="BO41:BO91" si="11">BD41*W41/L41</f>
        <v>12902557.182407038</v>
      </c>
      <c r="BP41" s="186">
        <f t="shared" ref="BP41:BP91" si="12">BE41*X41/M41</f>
        <v>13399482.738693696</v>
      </c>
      <c r="BQ41" s="189">
        <f t="shared" ref="BQ41:BQ91" si="13">BF41*Y41/N41</f>
        <v>13222772.327504268</v>
      </c>
      <c r="BR41" s="185"/>
    </row>
    <row r="42" spans="3:75" s="109" customFormat="1" hidden="1">
      <c r="C42" s="180" t="s">
        <v>53</v>
      </c>
      <c r="D42" s="181">
        <v>4798.2619742049992</v>
      </c>
      <c r="E42" s="190">
        <v>4593.0889999999999</v>
      </c>
      <c r="F42" s="190">
        <v>4792.0819986900005</v>
      </c>
      <c r="G42" s="190">
        <v>4848.4547899999998</v>
      </c>
      <c r="H42" s="190">
        <v>4856.7040076049998</v>
      </c>
      <c r="I42" s="190">
        <v>5045.39023</v>
      </c>
      <c r="J42" s="190">
        <v>5258.5558299999993</v>
      </c>
      <c r="K42" s="190">
        <v>5518.7163</v>
      </c>
      <c r="L42" s="190">
        <v>5487.31999</v>
      </c>
      <c r="M42" s="190">
        <v>5881.3031400000009</v>
      </c>
      <c r="N42" s="190">
        <v>5305.8885499999997</v>
      </c>
      <c r="O42" s="183"/>
      <c r="P42" s="190">
        <v>2193.614</v>
      </c>
      <c r="Q42" s="190">
        <v>2880.4112163660002</v>
      </c>
      <c r="R42" s="190">
        <v>2926.23225</v>
      </c>
      <c r="S42" s="190">
        <v>2862.0548067899999</v>
      </c>
      <c r="T42" s="190">
        <v>2904.13652</v>
      </c>
      <c r="U42" s="190">
        <v>3055.84564</v>
      </c>
      <c r="V42" s="190">
        <v>2946.1453199999996</v>
      </c>
      <c r="W42" s="190">
        <v>2911.9701299999997</v>
      </c>
      <c r="X42" s="190">
        <v>2954.8905800000002</v>
      </c>
      <c r="Y42" s="190">
        <v>2567.0533599999999</v>
      </c>
      <c r="Z42" s="184">
        <v>265549</v>
      </c>
      <c r="AA42" s="185">
        <v>259821</v>
      </c>
      <c r="AB42" s="185">
        <v>267783</v>
      </c>
      <c r="AC42" s="185">
        <v>251692</v>
      </c>
      <c r="AD42" s="185">
        <v>266369</v>
      </c>
      <c r="AE42" s="185">
        <v>243380</v>
      </c>
      <c r="AF42" s="185">
        <v>253416</v>
      </c>
      <c r="AG42" s="185">
        <v>247423.29412359203</v>
      </c>
      <c r="AH42" s="185">
        <v>247303.36138742761</v>
      </c>
      <c r="AI42" s="186">
        <v>242562.11792734719</v>
      </c>
      <c r="AJ42" s="185">
        <v>211645.54180719692</v>
      </c>
      <c r="AK42" s="184">
        <v>211545.30500000002</v>
      </c>
      <c r="AL42" s="185">
        <v>142359</v>
      </c>
      <c r="AM42" s="185">
        <v>155848.32600000003</v>
      </c>
      <c r="AN42" s="185">
        <v>133340</v>
      </c>
      <c r="AO42" s="187">
        <v>195883</v>
      </c>
      <c r="AP42" s="187">
        <v>140241</v>
      </c>
      <c r="AQ42" s="185">
        <v>116169</v>
      </c>
      <c r="AR42" s="185">
        <v>134395</v>
      </c>
      <c r="AS42" s="185">
        <v>127681.951</v>
      </c>
      <c r="AT42" s="186">
        <v>126670.31600000001</v>
      </c>
      <c r="AU42" s="185">
        <v>103526.822</v>
      </c>
      <c r="AV42" s="188">
        <f>Z42*Summary!$E$127+Trends!AK42*Summary!$E$128</f>
        <v>4306593.5579499993</v>
      </c>
      <c r="AW42" s="186">
        <f>AA42*Summary!$E$127+Trends!AL42*Summary!$E$128</f>
        <v>3555188.31</v>
      </c>
      <c r="AX42" s="186">
        <f>AB42*Summary!$E$127+Trends!AM42*Summary!$E$128</f>
        <v>3757136.7419400001</v>
      </c>
      <c r="AY42" s="186">
        <f>AC42*Summary!$E$127+Trends!AN42*Summary!$E$128</f>
        <v>3397439.8</v>
      </c>
      <c r="AZ42" s="186">
        <f>AD42*Summary!$E$127+Trends!AO42*Summary!$E$128</f>
        <v>4153636.67</v>
      </c>
      <c r="BA42" s="186">
        <f>AE42*Summary!$E$127+Trends!AP42*Summary!$E$128</f>
        <v>3400433.79</v>
      </c>
      <c r="BB42" s="186">
        <f>AF42*Summary!$E$127+Trends!AQ42*Summary!$E$128</f>
        <v>3236431.71</v>
      </c>
      <c r="BC42" s="186">
        <f>AG42*Summary!$E$127+Trends!AR42*Summary!$E$128</f>
        <v>3373613.7324010953</v>
      </c>
      <c r="BD42" s="186">
        <f>AH42*Summary!$E$127+Trends!AS42*Summary!$E$128</f>
        <v>3304236.3079281636</v>
      </c>
      <c r="BE42" s="186">
        <f>AI42*Summary!$E$127+Trends!AT42*Summary!$E$128</f>
        <v>3255523.6752515123</v>
      </c>
      <c r="BF42" s="186">
        <f>AJ42*Summary!$E$127+Trends!AU42*Summary!$E$128</f>
        <v>2769267.2048182948</v>
      </c>
      <c r="BG42" s="188"/>
      <c r="BH42" s="186">
        <f t="shared" si="4"/>
        <v>1697922.8683468446</v>
      </c>
      <c r="BI42" s="186">
        <f t="shared" si="5"/>
        <v>2258329.2222176492</v>
      </c>
      <c r="BJ42" s="186">
        <f t="shared" si="6"/>
        <v>2050487.9061053493</v>
      </c>
      <c r="BK42" s="186">
        <f t="shared" si="7"/>
        <v>2447737.3499430204</v>
      </c>
      <c r="BL42" s="186">
        <f t="shared" si="8"/>
        <v>1957296.3642459447</v>
      </c>
      <c r="BM42" s="186">
        <f t="shared" si="9"/>
        <v>1880751.3031883594</v>
      </c>
      <c r="BN42" s="186">
        <f t="shared" si="10"/>
        <v>1800990.6233450009</v>
      </c>
      <c r="BO42" s="186">
        <f t="shared" si="11"/>
        <v>1753467.5303578009</v>
      </c>
      <c r="BP42" s="186">
        <f t="shared" si="12"/>
        <v>1635643.6680744996</v>
      </c>
      <c r="BQ42" s="189">
        <f t="shared" si="13"/>
        <v>1339805.1270539055</v>
      </c>
      <c r="BR42" s="185"/>
    </row>
    <row r="43" spans="3:75" s="109" customFormat="1" hidden="1">
      <c r="C43" s="180" t="s">
        <v>54</v>
      </c>
      <c r="D43" s="181">
        <v>59995.158700285006</v>
      </c>
      <c r="E43" s="190">
        <v>59574.464</v>
      </c>
      <c r="F43" s="190">
        <v>60129.358249619996</v>
      </c>
      <c r="G43" s="190">
        <v>60586.171379999992</v>
      </c>
      <c r="H43" s="190">
        <v>62630.735975454991</v>
      </c>
      <c r="I43" s="190">
        <v>65044.858079999998</v>
      </c>
      <c r="J43" s="190">
        <v>65785.730030000006</v>
      </c>
      <c r="K43" s="190">
        <v>65069.578940000007</v>
      </c>
      <c r="L43" s="190">
        <v>66144.51122</v>
      </c>
      <c r="M43" s="190">
        <v>70280.646479999996</v>
      </c>
      <c r="N43" s="190">
        <v>65758.279120000007</v>
      </c>
      <c r="O43" s="183"/>
      <c r="P43" s="190">
        <v>25742.916000000001</v>
      </c>
      <c r="Q43" s="190">
        <v>36669.929317493996</v>
      </c>
      <c r="R43" s="190">
        <v>36486.415309999997</v>
      </c>
      <c r="S43" s="190">
        <v>29047.132566609998</v>
      </c>
      <c r="T43" s="190">
        <v>30496.689590000002</v>
      </c>
      <c r="U43" s="190">
        <v>31279.66374</v>
      </c>
      <c r="V43" s="190">
        <v>31901.268400000001</v>
      </c>
      <c r="W43" s="190">
        <v>32741.80126</v>
      </c>
      <c r="X43" s="190">
        <v>32974.600129999999</v>
      </c>
      <c r="Y43" s="190">
        <v>30207.94499</v>
      </c>
      <c r="Z43" s="184">
        <v>2585987</v>
      </c>
      <c r="AA43" s="185">
        <v>2563505</v>
      </c>
      <c r="AB43" s="185">
        <v>2555274</v>
      </c>
      <c r="AC43" s="185">
        <v>2578433</v>
      </c>
      <c r="AD43" s="185">
        <v>2624178</v>
      </c>
      <c r="AE43" s="185">
        <v>2606360</v>
      </c>
      <c r="AF43" s="185">
        <v>2716868</v>
      </c>
      <c r="AG43" s="185">
        <v>2732444.5944516868</v>
      </c>
      <c r="AH43" s="185">
        <v>2806588.3766964618</v>
      </c>
      <c r="AI43" s="186">
        <v>2831627.112924716</v>
      </c>
      <c r="AJ43" s="185">
        <v>2511812.1329801101</v>
      </c>
      <c r="AK43" s="184">
        <v>775818.04200000002</v>
      </c>
      <c r="AL43" s="185">
        <v>780407</v>
      </c>
      <c r="AM43" s="185">
        <v>766195.08600000001</v>
      </c>
      <c r="AN43" s="185">
        <v>716898</v>
      </c>
      <c r="AO43" s="187">
        <v>770076</v>
      </c>
      <c r="AP43" s="187">
        <v>807771</v>
      </c>
      <c r="AQ43" s="185">
        <v>848026</v>
      </c>
      <c r="AR43" s="185">
        <v>865616</v>
      </c>
      <c r="AS43" s="185">
        <v>894569.07400000002</v>
      </c>
      <c r="AT43" s="186">
        <v>946618.799</v>
      </c>
      <c r="AU43" s="185">
        <v>956951.82200000004</v>
      </c>
      <c r="AV43" s="188">
        <f>Z43*Summary!$E$127+Trends!AK43*Summary!$E$128</f>
        <v>28852080.547979999</v>
      </c>
      <c r="AW43" s="186">
        <f>AA43*Summary!$E$127+Trends!AL43*Summary!$E$128</f>
        <v>28716737.829999998</v>
      </c>
      <c r="AX43" s="186">
        <f>AB43*Summary!$E$127+Trends!AM43*Summary!$E$128</f>
        <v>28505247.326339997</v>
      </c>
      <c r="AY43" s="186">
        <f>AC43*Summary!$E$127+Trends!AN43*Summary!$E$128</f>
        <v>28190497.920000002</v>
      </c>
      <c r="AZ43" s="186">
        <f>AD43*Summary!$E$127+Trends!AO43*Summary!$E$128</f>
        <v>29102916.240000002</v>
      </c>
      <c r="BA43" s="186">
        <f>AE43*Summary!$E$127+Trends!AP43*Summary!$E$128</f>
        <v>29342702.489999998</v>
      </c>
      <c r="BB43" s="186">
        <f>AF43*Summary!$E$127+Trends!AQ43*Summary!$E$128</f>
        <v>30648015.740000002</v>
      </c>
      <c r="BC43" s="186">
        <f>AG43*Summary!$E$127+Trends!AR43*Summary!$E$128</f>
        <v>30953428.255058661</v>
      </c>
      <c r="BD43" s="186">
        <f>AH43*Summary!$E$127+Trends!AS43*Summary!$E$128</f>
        <v>31849024.715301339</v>
      </c>
      <c r="BE43" s="186">
        <f>AI43*Summary!$E$127+Trends!AT43*Summary!$E$128</f>
        <v>32582225.176500201</v>
      </c>
      <c r="BF43" s="186">
        <f>AJ43*Summary!$E$127+Trends!AU43*Summary!$E$128</f>
        <v>30097017.343318895</v>
      </c>
      <c r="BG43" s="188"/>
      <c r="BH43" s="186">
        <f t="shared" si="4"/>
        <v>12408883.271727167</v>
      </c>
      <c r="BI43" s="186">
        <f t="shared" si="5"/>
        <v>17383944.134164751</v>
      </c>
      <c r="BJ43" s="186">
        <f t="shared" si="6"/>
        <v>16976979.919288166</v>
      </c>
      <c r="BK43" s="186">
        <f t="shared" si="7"/>
        <v>13497466.586206531</v>
      </c>
      <c r="BL43" s="186">
        <f t="shared" si="8"/>
        <v>13757510.062803878</v>
      </c>
      <c r="BM43" s="186">
        <f t="shared" si="9"/>
        <v>14572455.549376037</v>
      </c>
      <c r="BN43" s="186">
        <f t="shared" si="10"/>
        <v>15175349.814008953</v>
      </c>
      <c r="BO43" s="186">
        <f t="shared" si="11"/>
        <v>15765396.377105838</v>
      </c>
      <c r="BP43" s="186">
        <f t="shared" si="12"/>
        <v>15287079.734624445</v>
      </c>
      <c r="BQ43" s="189">
        <f t="shared" si="13"/>
        <v>13825925.137288675</v>
      </c>
      <c r="BR43" s="185"/>
    </row>
    <row r="44" spans="3:75" s="109" customFormat="1" hidden="1">
      <c r="C44" s="180" t="s">
        <v>55</v>
      </c>
      <c r="D44" s="181">
        <v>33504.425257149996</v>
      </c>
      <c r="E44" s="190">
        <v>32952.949999999997</v>
      </c>
      <c r="F44" s="190">
        <v>33522.136812839999</v>
      </c>
      <c r="G44" s="190">
        <v>33493.27433</v>
      </c>
      <c r="H44" s="190">
        <v>34023.960117850002</v>
      </c>
      <c r="I44" s="190">
        <v>34897.334240000004</v>
      </c>
      <c r="J44" s="190">
        <v>35754.796889999998</v>
      </c>
      <c r="K44" s="190">
        <v>36389.32516</v>
      </c>
      <c r="L44" s="190">
        <v>36675.309049999996</v>
      </c>
      <c r="M44" s="190">
        <v>37099.019809999998</v>
      </c>
      <c r="N44" s="190">
        <v>33918.761910000001</v>
      </c>
      <c r="O44" s="183"/>
      <c r="P44" s="190">
        <v>14257.337</v>
      </c>
      <c r="Q44" s="190">
        <v>17912.519547839998</v>
      </c>
      <c r="R44" s="190">
        <v>17703.976979999999</v>
      </c>
      <c r="S44" s="190">
        <v>16753.428839599997</v>
      </c>
      <c r="T44" s="190">
        <v>17158.271560000001</v>
      </c>
      <c r="U44" s="190">
        <v>17633.196370000001</v>
      </c>
      <c r="V44" s="190">
        <v>18051.702709999998</v>
      </c>
      <c r="W44" s="190">
        <v>18099.64316</v>
      </c>
      <c r="X44" s="190">
        <v>18351.23977</v>
      </c>
      <c r="Y44" s="190">
        <v>16507.877799999998</v>
      </c>
      <c r="Z44" s="184">
        <v>1408255</v>
      </c>
      <c r="AA44" s="185">
        <v>1372183</v>
      </c>
      <c r="AB44" s="185">
        <v>1366706</v>
      </c>
      <c r="AC44" s="185">
        <v>1342104</v>
      </c>
      <c r="AD44" s="185">
        <v>1394005</v>
      </c>
      <c r="AE44" s="185">
        <v>1343196</v>
      </c>
      <c r="AF44" s="185">
        <v>1412534</v>
      </c>
      <c r="AG44" s="185">
        <v>1408054.066462293</v>
      </c>
      <c r="AH44" s="185">
        <v>1411862.5378310187</v>
      </c>
      <c r="AI44" s="186">
        <v>1431470.8787323437</v>
      </c>
      <c r="AJ44" s="185">
        <v>1326813.3857759242</v>
      </c>
      <c r="AK44" s="184">
        <v>619188.25199999998</v>
      </c>
      <c r="AL44" s="185">
        <v>603305</v>
      </c>
      <c r="AM44" s="185">
        <v>606650.08700000006</v>
      </c>
      <c r="AN44" s="185">
        <v>598371</v>
      </c>
      <c r="AO44" s="187">
        <v>612785</v>
      </c>
      <c r="AP44" s="187">
        <v>616900</v>
      </c>
      <c r="AQ44" s="185">
        <v>641687</v>
      </c>
      <c r="AR44" s="185">
        <v>666074</v>
      </c>
      <c r="AS44" s="185">
        <v>681890.821</v>
      </c>
      <c r="AT44" s="186">
        <v>680318.38</v>
      </c>
      <c r="AU44" s="185">
        <v>679637.04500000004</v>
      </c>
      <c r="AV44" s="188">
        <f>Z44*Summary!$E$127+Trends!AK44*Summary!$E$128</f>
        <v>17716393.78788</v>
      </c>
      <c r="AW44" s="186">
        <f>AA44*Summary!$E$127+Trends!AL44*Summary!$E$128</f>
        <v>17262360.25</v>
      </c>
      <c r="AX44" s="186">
        <f>AB44*Summary!$E$127+Trends!AM44*Summary!$E$128</f>
        <v>17252082.986529998</v>
      </c>
      <c r="AY44" s="186">
        <f>AC44*Summary!$E$127+Trends!AN44*Summary!$E$128</f>
        <v>16968442.890000001</v>
      </c>
      <c r="AZ44" s="186">
        <f>AD44*Summary!$E$127+Trends!AO44*Summary!$E$128</f>
        <v>17535719.649999999</v>
      </c>
      <c r="BA44" s="186">
        <f>AE44*Summary!$E$127+Trends!AP44*Summary!$E$128</f>
        <v>17166098.600000001</v>
      </c>
      <c r="BB44" s="186">
        <f>AF44*Summary!$E$127+Trends!AQ44*Summary!$E$128</f>
        <v>17980315.93</v>
      </c>
      <c r="BC44" s="186">
        <f>AG44*Summary!$E$127+Trends!AR44*Summary!$E$128</f>
        <v>18192531.998344574</v>
      </c>
      <c r="BD44" s="186">
        <f>AH44*Summary!$E$127+Trends!AS44*Summary!$E$128</f>
        <v>18384554.022421248</v>
      </c>
      <c r="BE44" s="186">
        <f>AI44*Summary!$E$127+Trends!AT44*Summary!$E$128</f>
        <v>18527358.409931984</v>
      </c>
      <c r="BF44" s="186">
        <f>AJ44*Summary!$E$127+Trends!AU44*Summary!$E$128</f>
        <v>17672689.913334988</v>
      </c>
      <c r="BG44" s="188"/>
      <c r="BH44" s="186">
        <f t="shared" si="4"/>
        <v>7468687.5530006951</v>
      </c>
      <c r="BI44" s="186">
        <f t="shared" si="5"/>
        <v>9218632.9130071811</v>
      </c>
      <c r="BJ44" s="186">
        <f t="shared" si="6"/>
        <v>8969231.2358343471</v>
      </c>
      <c r="BK44" s="186">
        <f t="shared" si="7"/>
        <v>8634604.269751735</v>
      </c>
      <c r="BL44" s="186">
        <f t="shared" si="8"/>
        <v>8440202.8928309307</v>
      </c>
      <c r="BM44" s="186">
        <f t="shared" si="9"/>
        <v>8867354.0102531742</v>
      </c>
      <c r="BN44" s="186">
        <f t="shared" si="10"/>
        <v>9024794.4344202951</v>
      </c>
      <c r="BO44" s="186">
        <f t="shared" si="11"/>
        <v>9072966.9655385558</v>
      </c>
      <c r="BP44" s="186">
        <f t="shared" si="12"/>
        <v>9164662.5228017792</v>
      </c>
      <c r="BQ44" s="189">
        <f t="shared" si="13"/>
        <v>8601098.30248891</v>
      </c>
      <c r="BR44" s="185"/>
    </row>
    <row r="45" spans="3:75" s="109" customFormat="1" hidden="1">
      <c r="C45" s="180" t="s">
        <v>56</v>
      </c>
      <c r="D45" s="181">
        <v>322849.39821274497</v>
      </c>
      <c r="E45" s="190">
        <v>320783.90600000002</v>
      </c>
      <c r="F45" s="190">
        <v>326271.65056348802</v>
      </c>
      <c r="G45" s="182">
        <v>329534.13232999999</v>
      </c>
      <c r="H45" s="190">
        <v>332857.19827553001</v>
      </c>
      <c r="I45" s="190">
        <v>335538.55664000002</v>
      </c>
      <c r="J45" s="182">
        <v>340114.93676000007</v>
      </c>
      <c r="K45" s="182">
        <v>343862.11241000006</v>
      </c>
      <c r="L45" s="182">
        <v>348795.71344999998</v>
      </c>
      <c r="M45" s="182">
        <v>340836.25153000001</v>
      </c>
      <c r="N45" s="182">
        <v>299811.68307000003</v>
      </c>
      <c r="O45" s="183"/>
      <c r="P45" s="190">
        <v>147374.07699999999</v>
      </c>
      <c r="Q45" s="190">
        <v>216017.48239324801</v>
      </c>
      <c r="R45" s="182">
        <v>215287.63728</v>
      </c>
      <c r="S45" s="190">
        <v>213290.22925447</v>
      </c>
      <c r="T45" s="190">
        <v>215738.61484000002</v>
      </c>
      <c r="U45" s="182">
        <v>222370.40234</v>
      </c>
      <c r="V45" s="182">
        <v>221818.07269</v>
      </c>
      <c r="W45" s="182">
        <v>223329.99476999999</v>
      </c>
      <c r="X45" s="182">
        <v>222357.21186000001</v>
      </c>
      <c r="Y45" s="182">
        <v>201385.18853000001</v>
      </c>
      <c r="Z45" s="184">
        <v>14555037</v>
      </c>
      <c r="AA45" s="185">
        <v>14276055</v>
      </c>
      <c r="AB45" s="185">
        <v>14221198</v>
      </c>
      <c r="AC45" s="185">
        <v>14201939</v>
      </c>
      <c r="AD45" s="185">
        <v>14434881</v>
      </c>
      <c r="AE45" s="185">
        <v>14188342</v>
      </c>
      <c r="AF45" s="185">
        <v>14540213</v>
      </c>
      <c r="AG45" s="185">
        <v>14616842.317367043</v>
      </c>
      <c r="AH45" s="185">
        <v>14728451.509642389</v>
      </c>
      <c r="AI45" s="186">
        <v>14432583.213501664</v>
      </c>
      <c r="AJ45" s="185">
        <v>11487226.318223421</v>
      </c>
      <c r="AK45" s="184">
        <v>2732916.523</v>
      </c>
      <c r="AL45" s="185">
        <v>2766945</v>
      </c>
      <c r="AM45" s="185">
        <v>2748351.321</v>
      </c>
      <c r="AN45" s="185">
        <v>2859342</v>
      </c>
      <c r="AO45" s="187">
        <v>2918733</v>
      </c>
      <c r="AP45" s="187">
        <v>3012037</v>
      </c>
      <c r="AQ45" s="185">
        <v>3182368</v>
      </c>
      <c r="AR45" s="185">
        <v>3297303</v>
      </c>
      <c r="AS45" s="185">
        <v>3282512.432</v>
      </c>
      <c r="AT45" s="186">
        <v>3502323.878</v>
      </c>
      <c r="AU45" s="185">
        <v>3147549.8429999999</v>
      </c>
      <c r="AV45" s="188">
        <f>Z45*Summary!$E$127+Trends!AK45*Summary!$E$128</f>
        <v>145744219.06936997</v>
      </c>
      <c r="AW45" s="186">
        <f>AA45*Summary!$E$127+Trends!AL45*Summary!$E$128</f>
        <v>143831215.05000001</v>
      </c>
      <c r="AX45" s="186">
        <f>AB45*Summary!$E$127+Trends!AM45*Summary!$E$128</f>
        <v>143197403.76098999</v>
      </c>
      <c r="AY45" s="186">
        <f>AC45*Summary!$E$127+Trends!AN45*Summary!$E$128</f>
        <v>144172400.88</v>
      </c>
      <c r="AZ45" s="186">
        <f>AD45*Summary!$E$127+Trends!AO45*Summary!$E$128</f>
        <v>146664425.37</v>
      </c>
      <c r="BA45" s="186">
        <f>AE45*Summary!$E$127+Trends!AP45*Summary!$E$128</f>
        <v>145618227.22999999</v>
      </c>
      <c r="BB45" s="186">
        <f>AF45*Summary!$E$127+Trends!AQ45*Summary!$E$128</f>
        <v>150204055.22</v>
      </c>
      <c r="BC45" s="186">
        <f>AG45*Summary!$E$127+Trends!AR45*Summary!$E$128</f>
        <v>151995940.34067306</v>
      </c>
      <c r="BD45" s="186">
        <f>AH45*Summary!$E$127+Trends!AS45*Summary!$E$128</f>
        <v>152749258.91018334</v>
      </c>
      <c r="BE45" s="186">
        <f>AI45*Summary!$E$127+Trends!AT45*Summary!$E$128</f>
        <v>152592604.34618348</v>
      </c>
      <c r="BF45" s="186">
        <f>AJ45*Summary!$E$127+Trends!AU45*Summary!$E$128</f>
        <v>125120066.0777797</v>
      </c>
      <c r="BG45" s="188"/>
      <c r="BH45" s="186">
        <f t="shared" si="4"/>
        <v>66078728.281905316</v>
      </c>
      <c r="BI45" s="186">
        <f t="shared" si="5"/>
        <v>94807938.698551789</v>
      </c>
      <c r="BJ45" s="186">
        <f t="shared" si="6"/>
        <v>94189137.031055033</v>
      </c>
      <c r="BK45" s="186">
        <f t="shared" si="7"/>
        <v>93980508.977149874</v>
      </c>
      <c r="BL45" s="186">
        <f t="shared" si="8"/>
        <v>93627018.464415386</v>
      </c>
      <c r="BM45" s="186">
        <f t="shared" si="9"/>
        <v>98204849.544553027</v>
      </c>
      <c r="BN45" s="186">
        <f t="shared" si="10"/>
        <v>98049320.719789252</v>
      </c>
      <c r="BO45" s="186">
        <f t="shared" si="11"/>
        <v>97803642.298553661</v>
      </c>
      <c r="BP45" s="186">
        <f t="shared" si="12"/>
        <v>99549463.71039699</v>
      </c>
      <c r="BQ45" s="189">
        <f t="shared" si="13"/>
        <v>84043849.919206291</v>
      </c>
      <c r="BR45" s="185"/>
    </row>
    <row r="46" spans="3:75" s="109" customFormat="1" hidden="1">
      <c r="C46" s="180" t="s">
        <v>57</v>
      </c>
      <c r="D46" s="181">
        <v>46939.927289800005</v>
      </c>
      <c r="E46" s="190">
        <v>46606.264000000003</v>
      </c>
      <c r="F46" s="190">
        <v>46768.771094280004</v>
      </c>
      <c r="G46" s="190">
        <v>46968.084750000002</v>
      </c>
      <c r="H46" s="190">
        <v>48985.1411849</v>
      </c>
      <c r="I46" s="190">
        <v>50437.338340000002</v>
      </c>
      <c r="J46" s="190">
        <v>52151.611119999994</v>
      </c>
      <c r="K46" s="190">
        <v>53382.102720000003</v>
      </c>
      <c r="L46" s="190">
        <v>53953.607510000002</v>
      </c>
      <c r="M46" s="190">
        <v>54633.554510000002</v>
      </c>
      <c r="N46" s="190">
        <v>48642.046600000001</v>
      </c>
      <c r="O46" s="183"/>
      <c r="P46" s="190">
        <v>23807.534</v>
      </c>
      <c r="Q46" s="190">
        <v>29545.876842360001</v>
      </c>
      <c r="R46" s="190">
        <v>29303.214899999999</v>
      </c>
      <c r="S46" s="190">
        <v>30788.793936499998</v>
      </c>
      <c r="T46" s="190">
        <v>31938.375599999999</v>
      </c>
      <c r="U46" s="190">
        <v>33046.7117</v>
      </c>
      <c r="V46" s="190">
        <v>33810.817490000001</v>
      </c>
      <c r="W46" s="190">
        <v>34342.70304</v>
      </c>
      <c r="X46" s="190">
        <v>34771.238550000002</v>
      </c>
      <c r="Y46" s="190">
        <v>30693.13996</v>
      </c>
      <c r="Z46" s="184">
        <v>2093404</v>
      </c>
      <c r="AA46" s="185">
        <v>2079287</v>
      </c>
      <c r="AB46" s="185">
        <v>2065165</v>
      </c>
      <c r="AC46" s="185">
        <v>2095760</v>
      </c>
      <c r="AD46" s="191">
        <v>2176382</v>
      </c>
      <c r="AE46" s="191">
        <v>2153830</v>
      </c>
      <c r="AF46" s="185">
        <v>2217141</v>
      </c>
      <c r="AG46" s="185">
        <v>2195754.4275287203</v>
      </c>
      <c r="AH46" s="185">
        <v>2286754.7984363451</v>
      </c>
      <c r="AI46" s="186">
        <v>2270649.0788763901</v>
      </c>
      <c r="AJ46" s="185">
        <v>1921601.3504607202</v>
      </c>
      <c r="AK46" s="184">
        <v>539797.49699999997</v>
      </c>
      <c r="AL46" s="185">
        <v>542782</v>
      </c>
      <c r="AM46" s="185">
        <v>558555.23</v>
      </c>
      <c r="AN46" s="185">
        <v>565577</v>
      </c>
      <c r="AO46" s="187">
        <v>615730</v>
      </c>
      <c r="AP46" s="187">
        <v>632959</v>
      </c>
      <c r="AQ46" s="185">
        <v>636213</v>
      </c>
      <c r="AR46" s="185">
        <v>665357</v>
      </c>
      <c r="AS46" s="185">
        <v>681328.86</v>
      </c>
      <c r="AT46" s="186">
        <v>681900.51599999995</v>
      </c>
      <c r="AU46" s="185">
        <v>659456.89099999995</v>
      </c>
      <c r="AV46" s="188">
        <f>Z46*Summary!$E$127+Trends!AK46*Summary!$E$128</f>
        <v>22457108.894429997</v>
      </c>
      <c r="AW46" s="186">
        <f>AA46*Summary!$E$127+Trends!AL46*Summary!$E$128</f>
        <v>22373173.280000001</v>
      </c>
      <c r="AX46" s="186">
        <f>AB46*Summary!$E$127+Trends!AM46*Summary!$E$128</f>
        <v>22419514.293699998</v>
      </c>
      <c r="AY46" s="186">
        <f>AC46*Summary!$E$127+Trends!AN46*Summary!$E$128</f>
        <v>22738885.629999999</v>
      </c>
      <c r="AZ46" s="186">
        <f>AD46*Summary!$E$127+Trends!AO46*Summary!$E$128</f>
        <v>23902982.899999999</v>
      </c>
      <c r="BA46" s="186">
        <f>AE46*Summary!$E$127+Trends!AP46*Summary!$E$128</f>
        <v>23895875.210000001</v>
      </c>
      <c r="BB46" s="186">
        <f>AF46*Summary!$E$127+Trends!AQ46*Summary!$E$128</f>
        <v>24441852.569999997</v>
      </c>
      <c r="BC46" s="186">
        <f>AG46*Summary!$E$127+Trends!AR46*Summary!$E$128</f>
        <v>24565598.692982636</v>
      </c>
      <c r="BD46" s="186">
        <f>AH46*Summary!$E$127+Trends!AS46*Summary!$E$128</f>
        <v>25465454.950734396</v>
      </c>
      <c r="BE46" s="186">
        <f>AI46*Summary!$E$127+Trends!AT46*Summary!$E$128</f>
        <v>25340823.796938758</v>
      </c>
      <c r="BF46" s="186">
        <f>AJ46*Summary!$E$127+Trends!AU46*Summary!$E$128</f>
        <v>22284836.65802183</v>
      </c>
      <c r="BG46" s="188"/>
      <c r="BH46" s="186">
        <f t="shared" si="4"/>
        <v>11428723.047860937</v>
      </c>
      <c r="BI46" s="186">
        <f t="shared" si="5"/>
        <v>14163387.078353323</v>
      </c>
      <c r="BJ46" s="186">
        <f t="shared" si="6"/>
        <v>14186706.904253997</v>
      </c>
      <c r="BK46" s="186">
        <f t="shared" si="7"/>
        <v>15023821.452261994</v>
      </c>
      <c r="BL46" s="186">
        <f t="shared" si="8"/>
        <v>15131556.558416694</v>
      </c>
      <c r="BM46" s="186">
        <f t="shared" si="9"/>
        <v>15487975.116169222</v>
      </c>
      <c r="BN46" s="186">
        <f t="shared" si="10"/>
        <v>15559203.021611856</v>
      </c>
      <c r="BO46" s="186">
        <f t="shared" si="11"/>
        <v>16209343.499217838</v>
      </c>
      <c r="BP46" s="186">
        <f t="shared" si="12"/>
        <v>16128034.084540373</v>
      </c>
      <c r="BQ46" s="189">
        <f t="shared" si="13"/>
        <v>14061735.850777354</v>
      </c>
      <c r="BR46" s="185"/>
      <c r="BW46" s="192"/>
    </row>
    <row r="47" spans="3:75" s="109" customFormat="1" hidden="1">
      <c r="C47" s="180" t="s">
        <v>58</v>
      </c>
      <c r="D47" s="181">
        <v>31294.416647000002</v>
      </c>
      <c r="E47" s="190">
        <v>31197.246999999999</v>
      </c>
      <c r="F47" s="190">
        <v>31269.363720000001</v>
      </c>
      <c r="G47" s="190">
        <v>30941.185620000004</v>
      </c>
      <c r="H47" s="190">
        <v>31190.314084499998</v>
      </c>
      <c r="I47" s="190">
        <v>31591.793690000002</v>
      </c>
      <c r="J47" s="190">
        <v>31638.569009999999</v>
      </c>
      <c r="K47" s="190">
        <v>31500.061539999999</v>
      </c>
      <c r="L47" s="190">
        <v>31595.705330000001</v>
      </c>
      <c r="M47" s="190">
        <v>31600.848359999996</v>
      </c>
      <c r="N47" s="190">
        <v>29844.938259999999</v>
      </c>
      <c r="O47" s="183"/>
      <c r="P47" s="190">
        <v>16275.942999999999</v>
      </c>
      <c r="Q47" s="190">
        <v>18832.388724</v>
      </c>
      <c r="R47" s="190">
        <v>18685.685540000002</v>
      </c>
      <c r="S47" s="190">
        <v>18738.349559999999</v>
      </c>
      <c r="T47" s="190">
        <v>19020.738400000002</v>
      </c>
      <c r="U47" s="190">
        <v>19054.531880000002</v>
      </c>
      <c r="V47" s="190">
        <v>19010.403409999999</v>
      </c>
      <c r="W47" s="190">
        <v>19142.4542</v>
      </c>
      <c r="X47" s="190">
        <v>19178.280049999998</v>
      </c>
      <c r="Y47" s="190">
        <v>18286.375100000001</v>
      </c>
      <c r="Z47" s="184">
        <v>1459754</v>
      </c>
      <c r="AA47" s="185">
        <v>1432206</v>
      </c>
      <c r="AB47" s="185">
        <v>1415334</v>
      </c>
      <c r="AC47" s="185">
        <v>1398670</v>
      </c>
      <c r="AD47" s="191">
        <v>1397749</v>
      </c>
      <c r="AE47" s="191">
        <v>1405870</v>
      </c>
      <c r="AF47" s="185">
        <v>1441862</v>
      </c>
      <c r="AG47" s="185">
        <v>1435026.8950644191</v>
      </c>
      <c r="AH47" s="185">
        <v>1458133.8995626403</v>
      </c>
      <c r="AI47" s="186">
        <v>1437443.6333950527</v>
      </c>
      <c r="AJ47" s="185">
        <v>1192564.473132153</v>
      </c>
      <c r="AK47" s="184">
        <v>270327.40700000001</v>
      </c>
      <c r="AL47" s="185">
        <v>275814</v>
      </c>
      <c r="AM47" s="185">
        <v>269437.98200000002</v>
      </c>
      <c r="AN47" s="185">
        <v>269903</v>
      </c>
      <c r="AO47" s="187">
        <v>270988</v>
      </c>
      <c r="AP47" s="187">
        <v>274012</v>
      </c>
      <c r="AQ47" s="185">
        <v>273595</v>
      </c>
      <c r="AR47" s="185">
        <v>274247</v>
      </c>
      <c r="AS47" s="185">
        <v>284610.19199999998</v>
      </c>
      <c r="AT47" s="186">
        <v>286500.65299999999</v>
      </c>
      <c r="AU47" s="185">
        <v>276172.587</v>
      </c>
      <c r="AV47" s="188">
        <f>Z47*Summary!$E$127+Trends!AK47*Summary!$E$128</f>
        <v>14578643.67733</v>
      </c>
      <c r="AW47" s="186">
        <f>AA47*Summary!$E$127+Trends!AL47*Summary!$E$128</f>
        <v>14411413.26</v>
      </c>
      <c r="AX47" s="186">
        <f>AB47*Summary!$E$127+Trends!AM47*Summary!$E$128</f>
        <v>14209778.43658</v>
      </c>
      <c r="AY47" s="186">
        <f>AC47*Summary!$E$127+Trends!AN47*Summary!$E$128</f>
        <v>14079538.57</v>
      </c>
      <c r="AZ47" s="186">
        <f>AD47*Summary!$E$127+Trends!AO47*Summary!$E$128</f>
        <v>14083134.620000001</v>
      </c>
      <c r="BA47" s="186">
        <f>AE47*Summary!$E$127+Trends!AP47*Summary!$E$128</f>
        <v>14179729.279999999</v>
      </c>
      <c r="BB47" s="186">
        <f>AF47*Summary!$E$127+Trends!AQ47*Summary!$E$128</f>
        <v>14467015.25</v>
      </c>
      <c r="BC47" s="186">
        <f>AG47*Summary!$E$127+Trends!AR47*Summary!$E$128</f>
        <v>14418294.780021794</v>
      </c>
      <c r="BD47" s="186">
        <f>AH47*Summary!$E$127+Trends!AS47*Summary!$E$128</f>
        <v>14711062.442937385</v>
      </c>
      <c r="BE47" s="186">
        <f>AI47*Summary!$E$127+Trends!AT47*Summary!$E$128</f>
        <v>14562735.084569925</v>
      </c>
      <c r="BF47" s="186">
        <f>AJ47*Summary!$E$127+Trends!AU47*Summary!$E$128</f>
        <v>12473970.893900439</v>
      </c>
      <c r="BG47" s="188"/>
      <c r="BH47" s="186">
        <f t="shared" si="4"/>
        <v>7518591.0080208089</v>
      </c>
      <c r="BI47" s="186">
        <f t="shared" si="5"/>
        <v>8558027.3905102517</v>
      </c>
      <c r="BJ47" s="186">
        <f t="shared" si="6"/>
        <v>8502771.4677250721</v>
      </c>
      <c r="BK47" s="186">
        <f t="shared" si="7"/>
        <v>8460790.0611440148</v>
      </c>
      <c r="BL47" s="186">
        <f t="shared" si="8"/>
        <v>8537309.5261467677</v>
      </c>
      <c r="BM47" s="186">
        <f t="shared" si="9"/>
        <v>8712853.0750693157</v>
      </c>
      <c r="BN47" s="186">
        <f t="shared" si="10"/>
        <v>8701494.1194464564</v>
      </c>
      <c r="BO47" s="186">
        <f t="shared" si="11"/>
        <v>8912788.4978685807</v>
      </c>
      <c r="BP47" s="186">
        <f t="shared" si="12"/>
        <v>8837997.2766605318</v>
      </c>
      <c r="BQ47" s="189">
        <f t="shared" si="13"/>
        <v>7642961.3881314071</v>
      </c>
      <c r="BR47" s="185"/>
    </row>
    <row r="48" spans="3:75" s="109" customFormat="1" hidden="1">
      <c r="C48" s="180" t="s">
        <v>59</v>
      </c>
      <c r="D48" s="181">
        <v>8947.6713199999995</v>
      </c>
      <c r="E48" s="190">
        <v>9028.1720000000005</v>
      </c>
      <c r="F48" s="190">
        <v>9185.7380699999994</v>
      </c>
      <c r="G48" s="190">
        <v>9307.8100300000006</v>
      </c>
      <c r="H48" s="190">
        <v>9596.403602800001</v>
      </c>
      <c r="I48" s="190">
        <v>9930.6103899999998</v>
      </c>
      <c r="J48" s="190">
        <v>10177.585230000001</v>
      </c>
      <c r="K48" s="190">
        <v>10466.906999999999</v>
      </c>
      <c r="L48" s="190">
        <v>10179.383809999999</v>
      </c>
      <c r="M48" s="190">
        <v>10245.15892</v>
      </c>
      <c r="N48" s="190">
        <v>8345.2296100000003</v>
      </c>
      <c r="O48" s="183"/>
      <c r="P48" s="190">
        <v>4007.8870000000002</v>
      </c>
      <c r="Q48" s="190">
        <v>5089.5909418800002</v>
      </c>
      <c r="R48" s="190">
        <v>5144.5322099999994</v>
      </c>
      <c r="S48" s="190">
        <v>5349.0611373000002</v>
      </c>
      <c r="T48" s="190">
        <v>5593.4059799999995</v>
      </c>
      <c r="U48" s="190">
        <v>5755.3289800000002</v>
      </c>
      <c r="V48" s="190">
        <v>5952.2270599999993</v>
      </c>
      <c r="W48" s="190">
        <v>5651.1455599999999</v>
      </c>
      <c r="X48" s="190">
        <v>5702.4950499999995</v>
      </c>
      <c r="Y48" s="190">
        <v>4531.1174099999998</v>
      </c>
      <c r="Z48" s="184">
        <v>425326</v>
      </c>
      <c r="AA48" s="185">
        <v>409634</v>
      </c>
      <c r="AB48" s="185">
        <v>405959</v>
      </c>
      <c r="AC48" s="185">
        <v>408344</v>
      </c>
      <c r="AD48" s="191">
        <v>412164</v>
      </c>
      <c r="AE48" s="191">
        <v>434287</v>
      </c>
      <c r="AF48" s="185">
        <v>523442</v>
      </c>
      <c r="AG48" s="185">
        <v>466833.56770709914</v>
      </c>
      <c r="AH48" s="185">
        <v>489403.10178356105</v>
      </c>
      <c r="AI48" s="186">
        <v>522552.93419738964</v>
      </c>
      <c r="AJ48" s="185">
        <v>429937.74543164362</v>
      </c>
      <c r="AK48" s="184">
        <v>61038.947999999997</v>
      </c>
      <c r="AL48" s="185">
        <v>61119</v>
      </c>
      <c r="AM48" s="185">
        <v>60643.659999999996</v>
      </c>
      <c r="AN48" s="185">
        <v>61172</v>
      </c>
      <c r="AO48" s="187">
        <v>63892</v>
      </c>
      <c r="AP48" s="187">
        <v>65358</v>
      </c>
      <c r="AQ48" s="185">
        <v>70056</v>
      </c>
      <c r="AR48" s="185">
        <v>76830</v>
      </c>
      <c r="AS48" s="185">
        <v>84430.638000000006</v>
      </c>
      <c r="AT48" s="186">
        <v>84114.095000000001</v>
      </c>
      <c r="AU48" s="185">
        <v>77492.12</v>
      </c>
      <c r="AV48" s="188">
        <f>Z48*Summary!$E$127+Trends!AK48*Summary!$E$128</f>
        <v>4067127.4801199995</v>
      </c>
      <c r="AW48" s="186">
        <f>AA48*Summary!$E$127+Trends!AL48*Summary!$E$128</f>
        <v>3940838.01</v>
      </c>
      <c r="AX48" s="186">
        <f>AB48*Summary!$E$127+Trends!AM48*Summary!$E$128</f>
        <v>3906226.7953999997</v>
      </c>
      <c r="AY48" s="186">
        <f>AC48*Summary!$E$127+Trends!AN48*Summary!$E$128</f>
        <v>3930929.08</v>
      </c>
      <c r="AZ48" s="186">
        <f>AD48*Summary!$E$127+Trends!AO48*Summary!$E$128</f>
        <v>3989587.88</v>
      </c>
      <c r="BA48" s="186">
        <f>AE48*Summary!$E$127+Trends!AP48*Summary!$E$128</f>
        <v>4183722.7199999997</v>
      </c>
      <c r="BB48" s="186">
        <f>AF48*Summary!$E$127+Trends!AQ48*Summary!$E$128</f>
        <v>4953750.84</v>
      </c>
      <c r="BC48" s="186">
        <f>AG48*Summary!$E$127+Trends!AR48*Summary!$E$128</f>
        <v>4564249.5984275024</v>
      </c>
      <c r="BD48" s="186">
        <f>AH48*Summary!$E$127+Trends!AS48*Summary!$E$128</f>
        <v>4824513.3256668439</v>
      </c>
      <c r="BE48" s="186">
        <f>AI48*Summary!$E$127+Trends!AT48*Summary!$E$128</f>
        <v>5089801.3950488567</v>
      </c>
      <c r="BF48" s="186">
        <f>AJ48*Summary!$E$127+Trends!AU48*Summary!$E$128</f>
        <v>4272140.4407963129</v>
      </c>
      <c r="BG48" s="188"/>
      <c r="BH48" s="186">
        <f t="shared" si="4"/>
        <v>1749460.8464908367</v>
      </c>
      <c r="BI48" s="186">
        <f t="shared" si="5"/>
        <v>2164343.9387551337</v>
      </c>
      <c r="BJ48" s="186">
        <f t="shared" si="6"/>
        <v>2172669.1028400441</v>
      </c>
      <c r="BK48" s="186">
        <f t="shared" si="7"/>
        <v>2223806.9975010674</v>
      </c>
      <c r="BL48" s="186">
        <f t="shared" si="8"/>
        <v>2356477.473355982</v>
      </c>
      <c r="BM48" s="186">
        <f t="shared" si="9"/>
        <v>2801299.6329534389</v>
      </c>
      <c r="BN48" s="186">
        <f t="shared" si="10"/>
        <v>2595556.640405261</v>
      </c>
      <c r="BO48" s="186">
        <f t="shared" si="11"/>
        <v>2678357.3120329194</v>
      </c>
      <c r="BP48" s="186">
        <f t="shared" si="12"/>
        <v>2833003.1273686872</v>
      </c>
      <c r="BQ48" s="189">
        <f t="shared" si="13"/>
        <v>2319597.0433289548</v>
      </c>
      <c r="BR48" s="185"/>
    </row>
    <row r="49" spans="3:72" s="109" customFormat="1" hidden="1">
      <c r="C49" s="180" t="s">
        <v>60</v>
      </c>
      <c r="D49" s="181">
        <v>3590.8184437499999</v>
      </c>
      <c r="E49" s="190">
        <v>3568.1149999999998</v>
      </c>
      <c r="F49" s="190">
        <v>3571.8300960179999</v>
      </c>
      <c r="G49" s="182">
        <v>3527.2689399999999</v>
      </c>
      <c r="H49" s="190">
        <v>3527.5881998250006</v>
      </c>
      <c r="I49" s="190">
        <v>3557.19265</v>
      </c>
      <c r="J49" s="182">
        <v>3621.9592999999995</v>
      </c>
      <c r="K49" s="182">
        <v>3715.8645799999999</v>
      </c>
      <c r="L49" s="182">
        <v>3690.6779799999999</v>
      </c>
      <c r="M49" s="182">
        <v>3756.0697499999997</v>
      </c>
      <c r="N49" s="182">
        <v>3030.47397</v>
      </c>
      <c r="O49" s="183"/>
      <c r="P49" s="190">
        <v>1306.4110000000001</v>
      </c>
      <c r="Q49" s="190">
        <v>1646.119422666</v>
      </c>
      <c r="R49" s="182">
        <v>1722.94488</v>
      </c>
      <c r="S49" s="190">
        <v>1804.8507644750002</v>
      </c>
      <c r="T49" s="190">
        <v>1821.99722</v>
      </c>
      <c r="U49" s="182">
        <v>1876.8205399999999</v>
      </c>
      <c r="V49" s="182">
        <v>1943.5419400000001</v>
      </c>
      <c r="W49" s="182">
        <v>1933.9123300000001</v>
      </c>
      <c r="X49" s="182">
        <v>1964.5478599999999</v>
      </c>
      <c r="Y49" s="182">
        <v>1505.4140400000001</v>
      </c>
      <c r="Z49" s="184">
        <v>103082</v>
      </c>
      <c r="AA49" s="185">
        <v>105076</v>
      </c>
      <c r="AB49" s="185">
        <v>94414</v>
      </c>
      <c r="AC49" s="185">
        <v>94670</v>
      </c>
      <c r="AD49" s="191">
        <v>101097</v>
      </c>
      <c r="AE49" s="191">
        <v>106690</v>
      </c>
      <c r="AF49" s="185">
        <v>114843</v>
      </c>
      <c r="AG49" s="185">
        <v>99509.494403030491</v>
      </c>
      <c r="AH49" s="185">
        <v>117916.08713117296</v>
      </c>
      <c r="AI49" s="186">
        <v>115631</v>
      </c>
      <c r="AJ49" s="193">
        <v>93883.898741152298</v>
      </c>
      <c r="AK49" s="184">
        <v>21556.850000000002</v>
      </c>
      <c r="AL49" s="185">
        <v>18007</v>
      </c>
      <c r="AM49" s="185">
        <v>16558.781999999999</v>
      </c>
      <c r="AN49" s="185">
        <v>16360</v>
      </c>
      <c r="AO49" s="187">
        <v>17680</v>
      </c>
      <c r="AP49" s="187">
        <v>15554</v>
      </c>
      <c r="AQ49" s="185">
        <v>15664</v>
      </c>
      <c r="AR49" s="185">
        <v>9606</v>
      </c>
      <c r="AS49" s="185">
        <v>12157.4</v>
      </c>
      <c r="AT49" s="186">
        <v>6989</v>
      </c>
      <c r="AU49" s="185">
        <v>11388.573</v>
      </c>
      <c r="AV49" s="188">
        <f>Z49*Summary!$E$127+Trends!AK49*Summary!$E$128</f>
        <v>1054628.5015</v>
      </c>
      <c r="AW49" s="186">
        <f>AA49*Summary!$E$127+Trends!AL49*Summary!$E$128</f>
        <v>1034606.9299999999</v>
      </c>
      <c r="AX49" s="186">
        <f>AB49*Summary!$E$127+Trends!AM49*Summary!$E$128</f>
        <v>933487.38858000003</v>
      </c>
      <c r="AY49" s="186">
        <f>AC49*Summary!$E$127+Trends!AN49*Summary!$E$128</f>
        <v>933535.4</v>
      </c>
      <c r="AZ49" s="186">
        <f>AD49*Summary!$E$127+Trends!AO49*Summary!$E$128</f>
        <v>999044.89999999991</v>
      </c>
      <c r="BA49" s="186">
        <f>AE49*Summary!$E$127+Trends!AP49*Summary!$E$128</f>
        <v>1022684.26</v>
      </c>
      <c r="BB49" s="186">
        <f>AF49*Summary!$E$127+Trends!AQ49*Summary!$E$128</f>
        <v>1089844.46</v>
      </c>
      <c r="BC49" s="186">
        <f>AG49*Summary!$E$127+Trends!AR49*Summary!$E$128</f>
        <v>903912.04466454696</v>
      </c>
      <c r="BD49" s="186">
        <f>AH49*Summary!$E$127+Trends!AS49*Summary!$E$128</f>
        <v>1079004.2117625009</v>
      </c>
      <c r="BE49" s="186">
        <f>AI49*Summary!$E$127+Trends!AT49*Summary!$E$128</f>
        <v>1007829.01</v>
      </c>
      <c r="BF49" s="186">
        <f>AJ49*Summary!$E$127+Trends!AU49*Summary!$E$128</f>
        <v>876509.13867333357</v>
      </c>
      <c r="BG49" s="188"/>
      <c r="BH49" s="186">
        <f t="shared" si="4"/>
        <v>378805.58054553455</v>
      </c>
      <c r="BI49" s="186">
        <f t="shared" si="5"/>
        <v>430208.51492023427</v>
      </c>
      <c r="BJ49" s="186">
        <f t="shared" si="6"/>
        <v>455998.69618355558</v>
      </c>
      <c r="BK49" s="186">
        <f t="shared" si="7"/>
        <v>511150.06893358496</v>
      </c>
      <c r="BL49" s="186">
        <f t="shared" si="8"/>
        <v>523819.78205699858</v>
      </c>
      <c r="BM49" s="186">
        <f t="shared" si="9"/>
        <v>564733.69756893965</v>
      </c>
      <c r="BN49" s="186">
        <f t="shared" si="10"/>
        <v>472781.21445338044</v>
      </c>
      <c r="BO49" s="186">
        <f t="shared" si="11"/>
        <v>565397.34990627156</v>
      </c>
      <c r="BP49" s="186">
        <f t="shared" si="12"/>
        <v>527127.67776514764</v>
      </c>
      <c r="BQ49" s="189">
        <f t="shared" si="13"/>
        <v>435413.46225361025</v>
      </c>
      <c r="BR49" s="185"/>
    </row>
    <row r="50" spans="3:72" s="109" customFormat="1" hidden="1">
      <c r="C50" s="180" t="s">
        <v>61</v>
      </c>
      <c r="D50" s="181">
        <v>195754.713285145</v>
      </c>
      <c r="E50" s="190">
        <v>191854.95499999999</v>
      </c>
      <c r="F50" s="190">
        <v>191373.77046977403</v>
      </c>
      <c r="G50" s="190">
        <v>192701.81568</v>
      </c>
      <c r="H50" s="190">
        <v>201040.403879455</v>
      </c>
      <c r="I50" s="190">
        <v>206982.46421000001</v>
      </c>
      <c r="J50" s="190">
        <v>215550.74933999998</v>
      </c>
      <c r="K50" s="190">
        <v>218825.80340999999</v>
      </c>
      <c r="L50" s="190">
        <v>221815.74064999999</v>
      </c>
      <c r="M50" s="190">
        <v>226514.41612000001</v>
      </c>
      <c r="N50" s="190">
        <v>208075.91888000001</v>
      </c>
      <c r="O50" s="183"/>
      <c r="P50" s="190">
        <v>60754.1</v>
      </c>
      <c r="Q50" s="190">
        <v>95083.129147733998</v>
      </c>
      <c r="R50" s="190">
        <v>96237.949930000002</v>
      </c>
      <c r="S50" s="190">
        <v>99539.647516534984</v>
      </c>
      <c r="T50" s="190">
        <v>103492.11939000001</v>
      </c>
      <c r="U50" s="190">
        <v>109144.87466</v>
      </c>
      <c r="V50" s="190">
        <v>111003.48539</v>
      </c>
      <c r="W50" s="190">
        <v>112636.86514000001</v>
      </c>
      <c r="X50" s="190">
        <v>115984.44321</v>
      </c>
      <c r="Y50" s="190">
        <v>105318.22353</v>
      </c>
      <c r="Z50" s="184">
        <v>7893177</v>
      </c>
      <c r="AA50" s="185">
        <v>7834706</v>
      </c>
      <c r="AB50" s="185">
        <v>7886365</v>
      </c>
      <c r="AC50" s="185">
        <v>7954688</v>
      </c>
      <c r="AD50" s="191">
        <v>8144674</v>
      </c>
      <c r="AE50" s="191">
        <v>8037700</v>
      </c>
      <c r="AF50" s="185">
        <v>8206142</v>
      </c>
      <c r="AG50" s="185">
        <v>8382973.5969461072</v>
      </c>
      <c r="AH50" s="185">
        <v>8643173.504750913</v>
      </c>
      <c r="AI50" s="186">
        <v>8586668.5356582366</v>
      </c>
      <c r="AJ50" s="185">
        <v>7473494.9024077328</v>
      </c>
      <c r="AK50" s="184">
        <v>1359250.5529999998</v>
      </c>
      <c r="AL50" s="185">
        <v>1349344</v>
      </c>
      <c r="AM50" s="185">
        <v>1358480.3959999999</v>
      </c>
      <c r="AN50" s="185">
        <v>1415621</v>
      </c>
      <c r="AO50" s="187">
        <v>1442091</v>
      </c>
      <c r="AP50" s="187">
        <v>1556161</v>
      </c>
      <c r="AQ50" s="185">
        <v>1646842</v>
      </c>
      <c r="AR50" s="185">
        <v>1705522</v>
      </c>
      <c r="AS50" s="185">
        <v>1781545.8330000001</v>
      </c>
      <c r="AT50" s="186">
        <v>1781089.473</v>
      </c>
      <c r="AU50" s="185">
        <v>1749832.879</v>
      </c>
      <c r="AV50" s="188">
        <f>Z50*Summary!$E$127+Trends!AK50*Summary!$E$128</f>
        <v>77785496.835069999</v>
      </c>
      <c r="AW50" s="186">
        <f>AA50*Summary!$E$127+Trends!AL50*Summary!$E$128</f>
        <v>77210933.959999993</v>
      </c>
      <c r="AX50" s="186">
        <f>AB50*Summary!$E$127+Trends!AM50*Summary!$E$128</f>
        <v>77722471.735239998</v>
      </c>
      <c r="AY50" s="186">
        <f>AC50*Summary!$E$127+Trends!AN50*Summary!$E$128</f>
        <v>78858150.789999992</v>
      </c>
      <c r="AZ50" s="186">
        <f>AD50*Summary!$E$127+Trends!AO50*Summary!$E$128</f>
        <v>80666766.689999998</v>
      </c>
      <c r="BA50" s="186">
        <f>AE50*Summary!$E$127+Trends!AP50*Summary!$E$128</f>
        <v>80962650.590000004</v>
      </c>
      <c r="BB50" s="186">
        <f>AF50*Summary!$E$127+Trends!AQ50*Summary!$E$128</f>
        <v>83251070.179999992</v>
      </c>
      <c r="BC50" s="186">
        <f>AG50*Summary!$E$127+Trends!AR50*Summary!$E$128</f>
        <v>85281355.31526348</v>
      </c>
      <c r="BD50" s="186">
        <f>AH50*Summary!$E$127+Trends!AS50*Summary!$E$128</f>
        <v>88163657.426752388</v>
      </c>
      <c r="BE50" s="186">
        <f>AI50*Summary!$E$127+Trends!AT50*Summary!$E$128</f>
        <v>87701316.868701726</v>
      </c>
      <c r="BF50" s="186">
        <f>AJ50*Summary!$E$127+Trends!AU50*Summary!$E$128</f>
        <v>78366105.746512622</v>
      </c>
      <c r="BG50" s="188"/>
      <c r="BH50" s="186">
        <f t="shared" si="4"/>
        <v>24450141.529569749</v>
      </c>
      <c r="BI50" s="186">
        <f t="shared" si="5"/>
        <v>38616032.905356467</v>
      </c>
      <c r="BJ50" s="186">
        <f t="shared" si="6"/>
        <v>39382850.340667889</v>
      </c>
      <c r="BK50" s="186">
        <f t="shared" si="7"/>
        <v>39939939.274275064</v>
      </c>
      <c r="BL50" s="186">
        <f t="shared" si="8"/>
        <v>40481672.362785205</v>
      </c>
      <c r="BM50" s="186">
        <f t="shared" si="9"/>
        <v>42154470.109377556</v>
      </c>
      <c r="BN50" s="186">
        <f t="shared" si="10"/>
        <v>43260564.025168538</v>
      </c>
      <c r="BO50" s="186">
        <f t="shared" si="11"/>
        <v>44769041.01902955</v>
      </c>
      <c r="BP50" s="186">
        <f t="shared" si="12"/>
        <v>44906582.901157871</v>
      </c>
      <c r="BQ50" s="189">
        <f t="shared" si="13"/>
        <v>39665229.338464007</v>
      </c>
      <c r="BR50" s="185"/>
    </row>
    <row r="51" spans="3:72" s="109" customFormat="1" hidden="1">
      <c r="C51" s="180" t="s">
        <v>62</v>
      </c>
      <c r="D51" s="181">
        <v>111722.46699454999</v>
      </c>
      <c r="E51" s="190">
        <v>108453.50199999999</v>
      </c>
      <c r="F51" s="190">
        <v>107488.49718197998</v>
      </c>
      <c r="G51" s="190">
        <v>109354.51193000001</v>
      </c>
      <c r="H51" s="190">
        <v>111534.8934325</v>
      </c>
      <c r="I51" s="190">
        <v>118106.56108</v>
      </c>
      <c r="J51" s="190">
        <v>122802.18588</v>
      </c>
      <c r="K51" s="190">
        <v>124733.39436000001</v>
      </c>
      <c r="L51" s="190">
        <v>131455.53278000001</v>
      </c>
      <c r="M51" s="190">
        <v>133127.65823</v>
      </c>
      <c r="N51" s="190">
        <v>115966.8266</v>
      </c>
      <c r="O51" s="183"/>
      <c r="P51" s="190">
        <v>44033.535000000003</v>
      </c>
      <c r="Q51" s="190">
        <v>52232.336140379994</v>
      </c>
      <c r="R51" s="190">
        <v>52549.057889999996</v>
      </c>
      <c r="S51" s="190">
        <v>55819.358275500002</v>
      </c>
      <c r="T51" s="190">
        <v>58245.248760000002</v>
      </c>
      <c r="U51" s="190">
        <v>60423.894390000001</v>
      </c>
      <c r="V51" s="190">
        <v>61968.187529999996</v>
      </c>
      <c r="W51" s="190">
        <v>60287.416750000004</v>
      </c>
      <c r="X51" s="190">
        <v>63590.43636</v>
      </c>
      <c r="Y51" s="190">
        <v>57151.060030000001</v>
      </c>
      <c r="Z51" s="184">
        <v>4796734</v>
      </c>
      <c r="AA51" s="185">
        <v>4630907</v>
      </c>
      <c r="AB51" s="185">
        <v>4610055</v>
      </c>
      <c r="AC51" s="185">
        <v>4736966</v>
      </c>
      <c r="AD51" s="191">
        <v>4605011</v>
      </c>
      <c r="AE51" s="191">
        <v>4709948</v>
      </c>
      <c r="AF51" s="185">
        <v>4587799</v>
      </c>
      <c r="AG51" s="185">
        <v>4812636.6072915411</v>
      </c>
      <c r="AH51" s="185">
        <v>4846070.4793085782</v>
      </c>
      <c r="AI51" s="186">
        <v>4743377.6028863955</v>
      </c>
      <c r="AJ51" s="185">
        <v>4403165.3777379636</v>
      </c>
      <c r="AK51" s="184">
        <v>1265888.0930000001</v>
      </c>
      <c r="AL51" s="185">
        <v>1191556</v>
      </c>
      <c r="AM51" s="185">
        <v>1130189.5330000001</v>
      </c>
      <c r="AN51" s="185">
        <v>1248710</v>
      </c>
      <c r="AO51" s="187">
        <v>1253328</v>
      </c>
      <c r="AP51" s="187">
        <v>1403133</v>
      </c>
      <c r="AQ51" s="185">
        <v>1327172</v>
      </c>
      <c r="AR51" s="185">
        <v>1541008</v>
      </c>
      <c r="AS51" s="185">
        <v>1322852.9639999999</v>
      </c>
      <c r="AT51" s="186">
        <v>1342455.496</v>
      </c>
      <c r="AU51" s="185">
        <v>1382085.433</v>
      </c>
      <c r="AV51" s="188">
        <f>Z51*Summary!$E$127+Trends!AK51*Summary!$E$128</f>
        <v>51752945.067670003</v>
      </c>
      <c r="AW51" s="186">
        <f>AA51*Summary!$E$127+Trends!AL51*Summary!$E$128</f>
        <v>49652302.339999996</v>
      </c>
      <c r="AX51" s="186">
        <f>AB51*Summary!$E$127+Trends!AM51*Summary!$E$128</f>
        <v>48858076.84127</v>
      </c>
      <c r="AY51" s="186">
        <f>AC51*Summary!$E$127+Trends!AN51*Summary!$E$128</f>
        <v>51093779.5</v>
      </c>
      <c r="AZ51" s="186">
        <f>AD51*Summary!$E$127+Trends!AO51*Summary!$E$128</f>
        <v>50072001.420000002</v>
      </c>
      <c r="BA51" s="186">
        <f>AE51*Summary!$E$127+Trends!AP51*Summary!$E$128</f>
        <v>52448504.069999993</v>
      </c>
      <c r="BB51" s="186">
        <f>AF51*Summary!$E$127+Trends!AQ51*Summary!$E$128</f>
        <v>50685054.579999998</v>
      </c>
      <c r="BC51" s="186">
        <f>AG51*Summary!$E$127+Trends!AR51*Summary!$E$128</f>
        <v>54685228.039061487</v>
      </c>
      <c r="BD51" s="186">
        <f>AH51*Summary!$E$127+Trends!AS51*Summary!$E$128</f>
        <v>52733042.585559487</v>
      </c>
      <c r="BE51" s="186">
        <f>AI51*Summary!$E$127+Trends!AT51*Summary!$E$128</f>
        <v>52100980.087619804</v>
      </c>
      <c r="BF51" s="186">
        <f>AJ51*Summary!$E$127+Trends!AU51*Summary!$E$128</f>
        <v>49749090.121947505</v>
      </c>
      <c r="BG51" s="188"/>
      <c r="BH51" s="186">
        <f t="shared" si="4"/>
        <v>20159481.737334512</v>
      </c>
      <c r="BI51" s="186">
        <f t="shared" si="5"/>
        <v>23741810.143881682</v>
      </c>
      <c r="BJ51" s="186">
        <f t="shared" si="6"/>
        <v>24552530.383776683</v>
      </c>
      <c r="BK51" s="186">
        <f t="shared" si="7"/>
        <v>25059305.664965093</v>
      </c>
      <c r="BL51" s="186">
        <f t="shared" si="8"/>
        <v>25865423.04434542</v>
      </c>
      <c r="BM51" s="186">
        <f t="shared" si="9"/>
        <v>24939200.90385044</v>
      </c>
      <c r="BN51" s="186">
        <f t="shared" si="10"/>
        <v>27167900.654294163</v>
      </c>
      <c r="BO51" s="186">
        <f t="shared" si="11"/>
        <v>24184139.287401717</v>
      </c>
      <c r="BP51" s="186">
        <f t="shared" si="12"/>
        <v>24886819.93362676</v>
      </c>
      <c r="BQ51" s="189">
        <f t="shared" si="13"/>
        <v>24517470.378009826</v>
      </c>
      <c r="BR51" s="185"/>
    </row>
    <row r="52" spans="3:72" s="109" customFormat="1" hidden="1">
      <c r="C52" s="180" t="s">
        <v>63</v>
      </c>
      <c r="D52" s="181">
        <v>9994.6493047749991</v>
      </c>
      <c r="E52" s="190">
        <v>10066.379000000001</v>
      </c>
      <c r="F52" s="190">
        <v>10049.663456616001</v>
      </c>
      <c r="G52" s="190">
        <v>10099.350600000002</v>
      </c>
      <c r="H52" s="190">
        <v>10174.346329980001</v>
      </c>
      <c r="I52" s="190">
        <v>10300.52988</v>
      </c>
      <c r="J52" s="190">
        <v>10635.42843</v>
      </c>
      <c r="K52" s="190">
        <v>10748.61946</v>
      </c>
      <c r="L52" s="190">
        <v>10886.767749999999</v>
      </c>
      <c r="M52" s="190">
        <v>11024.0049</v>
      </c>
      <c r="N52" s="190">
        <v>8785.3665400000009</v>
      </c>
      <c r="O52" s="183"/>
      <c r="P52" s="190">
        <v>3907.27</v>
      </c>
      <c r="Q52" s="190">
        <v>4717.0848629280008</v>
      </c>
      <c r="R52" s="190">
        <v>4724.8183300000001</v>
      </c>
      <c r="S52" s="190">
        <v>4781.7462585650001</v>
      </c>
      <c r="T52" s="190">
        <v>4807.3520200000003</v>
      </c>
      <c r="U52" s="190">
        <v>5066.0901800000001</v>
      </c>
      <c r="V52" s="190">
        <v>4986.0658700000004</v>
      </c>
      <c r="W52" s="190">
        <v>5026.0677099999994</v>
      </c>
      <c r="X52" s="190">
        <v>5117.0560800000003</v>
      </c>
      <c r="Y52" s="190">
        <v>4091.1814899999999</v>
      </c>
      <c r="Z52" s="184">
        <v>409601</v>
      </c>
      <c r="AA52" s="185">
        <v>461331</v>
      </c>
      <c r="AB52" s="185">
        <v>436913</v>
      </c>
      <c r="AC52" s="185">
        <v>437641</v>
      </c>
      <c r="AD52" s="191">
        <v>444649</v>
      </c>
      <c r="AE52" s="191">
        <v>433766</v>
      </c>
      <c r="AF52" s="185">
        <v>444048</v>
      </c>
      <c r="AG52" s="185">
        <v>441296.26488441566</v>
      </c>
      <c r="AH52" s="185">
        <v>440805.06905990455</v>
      </c>
      <c r="AI52" s="186">
        <v>436710.6712822236</v>
      </c>
      <c r="AJ52" s="185">
        <v>335259.35276760033</v>
      </c>
      <c r="AK52" s="184">
        <v>52400.898999999998</v>
      </c>
      <c r="AL52" s="185">
        <v>48796</v>
      </c>
      <c r="AM52" s="185">
        <v>50307.777000000002</v>
      </c>
      <c r="AN52" s="185">
        <v>53331</v>
      </c>
      <c r="AO52" s="187">
        <v>47996</v>
      </c>
      <c r="AP52" s="187">
        <v>53117</v>
      </c>
      <c r="AQ52" s="185">
        <v>49765</v>
      </c>
      <c r="AR52" s="185">
        <v>51433</v>
      </c>
      <c r="AS52" s="185">
        <v>51074.093999999997</v>
      </c>
      <c r="AT52" s="186">
        <v>48952.370999999999</v>
      </c>
      <c r="AU52" s="185">
        <v>42941.35</v>
      </c>
      <c r="AV52" s="188">
        <f>Z52*Summary!$E$127+Trends!AK52*Summary!$E$128</f>
        <v>3851733.2608099994</v>
      </c>
      <c r="AW52" s="186">
        <f>AA52*Summary!$E$127+Trends!AL52*Summary!$E$128</f>
        <v>4234012.34</v>
      </c>
      <c r="AX52" s="186">
        <f>AB52*Summary!$E$127+Trends!AM52*Summary!$E$128</f>
        <v>4051631.5476299999</v>
      </c>
      <c r="AY52" s="186">
        <f>AC52*Summary!$E$127+Trends!AN52*Summary!$E$128</f>
        <v>4088334.9899999998</v>
      </c>
      <c r="AZ52" s="186">
        <f>AD52*Summary!$E$127+Trends!AO52*Summary!$E$128</f>
        <v>4090736.1399999997</v>
      </c>
      <c r="BA52" s="186">
        <f>AE52*Summary!$E$127+Trends!AP52*Summary!$E$128</f>
        <v>4054766.8299999996</v>
      </c>
      <c r="BB52" s="186">
        <f>AF52*Summary!$E$127+Trends!AQ52*Summary!$E$128</f>
        <v>4103894.15</v>
      </c>
      <c r="BC52" s="186">
        <f>AG52*Summary!$E$127+Trends!AR52*Summary!$E$128</f>
        <v>4098602.0155637669</v>
      </c>
      <c r="BD52" s="186">
        <f>AH52*Summary!$E$127+Trends!AS52*Summary!$E$128</f>
        <v>4090966.0772452266</v>
      </c>
      <c r="BE52" s="186">
        <f>AI52*Summary!$E$127+Trends!AT52*Summary!$E$128</f>
        <v>4036181.0978760114</v>
      </c>
      <c r="BF52" s="186">
        <f>AJ52*Summary!$E$127+Trends!AU52*Summary!$E$128</f>
        <v>3153173.1139175622</v>
      </c>
      <c r="BG52" s="188"/>
      <c r="BH52" s="186">
        <f t="shared" si="4"/>
        <v>1643433.9890949663</v>
      </c>
      <c r="BI52" s="186">
        <f t="shared" si="5"/>
        <v>1901744.2649689012</v>
      </c>
      <c r="BJ52" s="186">
        <f t="shared" si="6"/>
        <v>1912661.6022155287</v>
      </c>
      <c r="BK52" s="186">
        <f t="shared" si="7"/>
        <v>1922566.973622971</v>
      </c>
      <c r="BL52" s="186">
        <f t="shared" si="8"/>
        <v>1892396.9677207998</v>
      </c>
      <c r="BM52" s="186">
        <f t="shared" si="9"/>
        <v>1954852.8759244774</v>
      </c>
      <c r="BN52" s="186">
        <f t="shared" si="10"/>
        <v>1901258.0825440916</v>
      </c>
      <c r="BO52" s="186">
        <f t="shared" si="11"/>
        <v>1888666.4045485491</v>
      </c>
      <c r="BP52" s="186">
        <f t="shared" si="12"/>
        <v>1873490.1892929601</v>
      </c>
      <c r="BQ52" s="189">
        <f t="shared" si="13"/>
        <v>1468373.9625080219</v>
      </c>
      <c r="BR52" s="185"/>
    </row>
    <row r="53" spans="3:72" s="109" customFormat="1" hidden="1">
      <c r="C53" s="180" t="s">
        <v>64</v>
      </c>
      <c r="D53" s="181">
        <v>15801.206278325</v>
      </c>
      <c r="E53" s="190">
        <v>15936.599</v>
      </c>
      <c r="F53" s="190">
        <v>16314.571640465998</v>
      </c>
      <c r="G53" s="182">
        <v>15980.106370000001</v>
      </c>
      <c r="H53" s="190">
        <v>16154.040016200001</v>
      </c>
      <c r="I53" s="190">
        <v>16661.949710000001</v>
      </c>
      <c r="J53" s="182">
        <v>17198.715349999999</v>
      </c>
      <c r="K53" s="182">
        <v>17300.371929999998</v>
      </c>
      <c r="L53" s="182">
        <v>17709.145779999999</v>
      </c>
      <c r="M53" s="182">
        <v>18057.66158</v>
      </c>
      <c r="N53" s="182">
        <v>17406.41762</v>
      </c>
      <c r="O53" s="183"/>
      <c r="P53" s="190">
        <v>6011.5050000000001</v>
      </c>
      <c r="Q53" s="190">
        <v>7739.166938028</v>
      </c>
      <c r="R53" s="182">
        <v>7890.949630000001</v>
      </c>
      <c r="S53" s="190">
        <v>8077.9306648500005</v>
      </c>
      <c r="T53" s="190">
        <v>8388.2953999999991</v>
      </c>
      <c r="U53" s="182">
        <v>8652.4086299999999</v>
      </c>
      <c r="V53" s="182">
        <v>8800.1160199999995</v>
      </c>
      <c r="W53" s="182">
        <v>9042.7220099999995</v>
      </c>
      <c r="X53" s="182">
        <v>9183.3645799999995</v>
      </c>
      <c r="Y53" s="182">
        <v>8137.98632</v>
      </c>
      <c r="Z53" s="184">
        <v>657282</v>
      </c>
      <c r="AA53" s="185">
        <v>643170</v>
      </c>
      <c r="AB53" s="185">
        <v>660533</v>
      </c>
      <c r="AC53" s="185">
        <v>666601</v>
      </c>
      <c r="AD53" s="191">
        <v>689762</v>
      </c>
      <c r="AE53" s="191">
        <v>688256</v>
      </c>
      <c r="AF53" s="185">
        <v>717347</v>
      </c>
      <c r="AG53" s="185">
        <v>733483.67958778329</v>
      </c>
      <c r="AH53" s="185">
        <v>713054.0064728586</v>
      </c>
      <c r="AI53" s="186">
        <v>734046.50604784302</v>
      </c>
      <c r="AJ53" s="185">
        <v>707918.03009110526</v>
      </c>
      <c r="AK53" s="184">
        <v>256675.54300000003</v>
      </c>
      <c r="AL53" s="185">
        <v>256599</v>
      </c>
      <c r="AM53" s="185">
        <v>258660.11</v>
      </c>
      <c r="AN53" s="185">
        <v>263379</v>
      </c>
      <c r="AO53" s="187">
        <v>265840</v>
      </c>
      <c r="AP53" s="187">
        <v>287014</v>
      </c>
      <c r="AQ53" s="185">
        <v>302482</v>
      </c>
      <c r="AR53" s="185">
        <v>305674</v>
      </c>
      <c r="AS53" s="185">
        <v>314804.97600000002</v>
      </c>
      <c r="AT53" s="186">
        <v>327006.67599999998</v>
      </c>
      <c r="AU53" s="185">
        <v>344194.5</v>
      </c>
      <c r="AV53" s="188">
        <f>Z53*Summary!$E$127+Trends!AK53*Summary!$E$128</f>
        <v>7939507.9831700008</v>
      </c>
      <c r="AW53" s="186">
        <f>AA53*Summary!$E$127+Trends!AL53*Summary!$E$128</f>
        <v>7824420.8100000005</v>
      </c>
      <c r="AX53" s="186">
        <f>AB53*Summary!$E$127+Trends!AM53*Summary!$E$128</f>
        <v>7986063.8208999997</v>
      </c>
      <c r="AY53" s="186">
        <f>AC53*Summary!$E$127+Trends!AN53*Summary!$E$128</f>
        <v>8083300.1099999994</v>
      </c>
      <c r="AZ53" s="186">
        <f>AD53*Summary!$E$127+Trends!AO53*Summary!$E$128</f>
        <v>8295981.8000000007</v>
      </c>
      <c r="BA53" s="186">
        <f>AE53*Summary!$E$127+Trends!AP53*Summary!$E$128</f>
        <v>8499546.2599999998</v>
      </c>
      <c r="BB53" s="186">
        <f>AF53*Summary!$E$127+Trends!AQ53*Summary!$E$128</f>
        <v>8892802.2800000012</v>
      </c>
      <c r="BC53" s="186">
        <f>AG53*Summary!$E$127+Trends!AR53*Summary!$E$128</f>
        <v>9056035.8646610454</v>
      </c>
      <c r="BD53" s="186">
        <f>AH53*Summary!$E$127+Trends!AS53*Summary!$E$128</f>
        <v>8983600.1578701548</v>
      </c>
      <c r="BE53" s="186">
        <f>AI53*Summary!$E$127+Trends!AT53*Summary!$E$128</f>
        <v>9277974.7274275273</v>
      </c>
      <c r="BF53" s="186">
        <f>AJ53*Summary!$E$127+Trends!AU53*Summary!$E$128</f>
        <v>9241477.9987379517</v>
      </c>
      <c r="BG53" s="188"/>
      <c r="BH53" s="186">
        <f t="shared" si="4"/>
        <v>2951479.4732187875</v>
      </c>
      <c r="BI53" s="186">
        <f t="shared" si="5"/>
        <v>3788360.6416236544</v>
      </c>
      <c r="BJ53" s="186">
        <f t="shared" si="6"/>
        <v>3991519.9896246661</v>
      </c>
      <c r="BK53" s="186">
        <f t="shared" si="7"/>
        <v>4148458.5719765751</v>
      </c>
      <c r="BL53" s="186">
        <f t="shared" si="8"/>
        <v>4279013.3229159284</v>
      </c>
      <c r="BM53" s="186">
        <f t="shared" si="9"/>
        <v>4473831.7732757693</v>
      </c>
      <c r="BN53" s="186">
        <f t="shared" si="10"/>
        <v>4606500.1731034014</v>
      </c>
      <c r="BO53" s="186">
        <f t="shared" si="11"/>
        <v>4587245.4767613262</v>
      </c>
      <c r="BP53" s="186">
        <f t="shared" si="12"/>
        <v>4718386.3817871539</v>
      </c>
      <c r="BQ53" s="189">
        <f t="shared" si="13"/>
        <v>4320649.0371630201</v>
      </c>
      <c r="BR53" s="185"/>
    </row>
    <row r="54" spans="3:72" s="109" customFormat="1" hidden="1">
      <c r="C54" s="180" t="s">
        <v>65</v>
      </c>
      <c r="D54" s="181">
        <v>105787.85244645001</v>
      </c>
      <c r="E54" s="190">
        <v>103234.01700000001</v>
      </c>
      <c r="F54" s="190">
        <v>104578.40700036001</v>
      </c>
      <c r="G54" s="190">
        <v>105297.10411999999</v>
      </c>
      <c r="H54" s="190">
        <v>104905.50639585</v>
      </c>
      <c r="I54" s="190">
        <v>105223.40601999999</v>
      </c>
      <c r="J54" s="190">
        <v>107314.10272</v>
      </c>
      <c r="K54" s="190">
        <v>108011.25529</v>
      </c>
      <c r="L54" s="190">
        <v>107954.25392</v>
      </c>
      <c r="M54" s="190">
        <v>107524.64446</v>
      </c>
      <c r="N54" s="190">
        <v>94120.59736</v>
      </c>
      <c r="O54" s="183"/>
      <c r="P54" s="190">
        <v>49267.571000000004</v>
      </c>
      <c r="Q54" s="190">
        <v>56919.000789600002</v>
      </c>
      <c r="R54" s="190">
        <v>57825.576849999998</v>
      </c>
      <c r="S54" s="190">
        <v>57717.328783499994</v>
      </c>
      <c r="T54" s="190">
        <v>57674.842980000001</v>
      </c>
      <c r="U54" s="190">
        <v>59579.410040000002</v>
      </c>
      <c r="V54" s="190">
        <v>61061.471510000003</v>
      </c>
      <c r="W54" s="190">
        <v>60567.738830000002</v>
      </c>
      <c r="X54" s="190">
        <v>59800.257659999996</v>
      </c>
      <c r="Y54" s="190">
        <v>51163.997900000002</v>
      </c>
      <c r="Z54" s="184">
        <v>4760179</v>
      </c>
      <c r="AA54" s="185">
        <v>4584599</v>
      </c>
      <c r="AB54" s="185">
        <v>4520233</v>
      </c>
      <c r="AC54" s="185">
        <v>4504374</v>
      </c>
      <c r="AD54" s="191">
        <v>4551204</v>
      </c>
      <c r="AE54" s="191">
        <v>4500144</v>
      </c>
      <c r="AF54" s="185">
        <v>4645051</v>
      </c>
      <c r="AG54" s="185">
        <v>4608651.0358454958</v>
      </c>
      <c r="AH54" s="185">
        <v>4639189.858174759</v>
      </c>
      <c r="AI54" s="186">
        <v>4454984.4275634019</v>
      </c>
      <c r="AJ54" s="185">
        <v>3662554.9172956357</v>
      </c>
      <c r="AK54" s="184">
        <v>1404219.6580000001</v>
      </c>
      <c r="AL54" s="185">
        <v>1489533</v>
      </c>
      <c r="AM54" s="185">
        <v>1425227.054</v>
      </c>
      <c r="AN54" s="185">
        <v>1489724</v>
      </c>
      <c r="AO54" s="187">
        <v>1511375</v>
      </c>
      <c r="AP54" s="187">
        <v>1571813</v>
      </c>
      <c r="AQ54" s="185">
        <v>1563512</v>
      </c>
      <c r="AR54" s="185">
        <v>1616975</v>
      </c>
      <c r="AS54" s="185">
        <v>1589932.66</v>
      </c>
      <c r="AT54" s="186">
        <v>1521395.3770000001</v>
      </c>
      <c r="AU54" s="185">
        <v>1474227.858</v>
      </c>
      <c r="AV54" s="188">
        <f>Z54*Summary!$E$127+Trends!AK54*Summary!$E$128</f>
        <v>52866448.215020001</v>
      </c>
      <c r="AW54" s="186">
        <f>AA54*Summary!$E$127+Trends!AL54*Summary!$E$128</f>
        <v>52313593.170000002</v>
      </c>
      <c r="AX54" s="186">
        <f>AB54*Summary!$E$127+Trends!AM54*Summary!$E$128</f>
        <v>51136950.98026</v>
      </c>
      <c r="AY54" s="186">
        <f>AC54*Summary!$E$127+Trends!AN54*Summary!$E$128</f>
        <v>51665716.959999993</v>
      </c>
      <c r="AZ54" s="186">
        <f>AD54*Summary!$E$127+Trends!AO54*Summary!$E$128</f>
        <v>52265663.649999999</v>
      </c>
      <c r="BA54" s="186">
        <f>AE54*Summary!$E$127+Trends!AP54*Summary!$E$128</f>
        <v>52467940.869999997</v>
      </c>
      <c r="BB54" s="186">
        <f>AF54*Summary!$E$127+Trends!AQ54*Summary!$E$128</f>
        <v>53557100.380000003</v>
      </c>
      <c r="BC54" s="186">
        <f>AG54*Summary!$E$127+Trends!AR54*Summary!$E$128</f>
        <v>53807048.640348516</v>
      </c>
      <c r="BD54" s="186">
        <f>AH54*Summary!$E$127+Trends!AS54*Summary!$E$128</f>
        <v>53778851.656615548</v>
      </c>
      <c r="BE54" s="186">
        <f>AI54*Summary!$E$127+Trends!AT54*Summary!$E$128</f>
        <v>51588392.754893556</v>
      </c>
      <c r="BF54" s="186">
        <f>AJ54*Summary!$E$127+Trends!AU54*Summary!$E$128</f>
        <v>44689076.703114644</v>
      </c>
      <c r="BG54" s="188"/>
      <c r="BH54" s="186">
        <f t="shared" si="4"/>
        <v>24966224.706417169</v>
      </c>
      <c r="BI54" s="186">
        <f t="shared" si="5"/>
        <v>27832362.690446567</v>
      </c>
      <c r="BJ54" s="186">
        <f t="shared" si="6"/>
        <v>28373048.922371712</v>
      </c>
      <c r="BK54" s="186">
        <f t="shared" si="7"/>
        <v>28755730.720100794</v>
      </c>
      <c r="BL54" s="186">
        <f t="shared" si="8"/>
        <v>28758622.873184718</v>
      </c>
      <c r="BM54" s="186">
        <f t="shared" si="9"/>
        <v>29734213.52102286</v>
      </c>
      <c r="BN54" s="186">
        <f t="shared" si="10"/>
        <v>30418474.063360043</v>
      </c>
      <c r="BO54" s="186">
        <f t="shared" si="11"/>
        <v>30172627.047462285</v>
      </c>
      <c r="BP54" s="186">
        <f t="shared" si="12"/>
        <v>28691089.326554857</v>
      </c>
      <c r="BQ54" s="189">
        <f t="shared" si="13"/>
        <v>24293001.646022454</v>
      </c>
      <c r="BR54" s="185"/>
      <c r="BT54" s="177"/>
    </row>
    <row r="55" spans="3:72" s="109" customFormat="1" hidden="1">
      <c r="C55" s="180" t="s">
        <v>66</v>
      </c>
      <c r="D55" s="181">
        <v>75760.509840900006</v>
      </c>
      <c r="E55" s="190">
        <v>76485.206999999995</v>
      </c>
      <c r="F55" s="190">
        <v>78922.580002607996</v>
      </c>
      <c r="G55" s="190">
        <v>78311.294389999995</v>
      </c>
      <c r="H55" s="190">
        <v>79203.629493254994</v>
      </c>
      <c r="I55" s="190">
        <v>78818.672609999994</v>
      </c>
      <c r="J55" s="190">
        <v>83182.775670000003</v>
      </c>
      <c r="K55" s="190">
        <v>81751.856769999999</v>
      </c>
      <c r="L55" s="190">
        <v>81528.811799999996</v>
      </c>
      <c r="M55" s="190">
        <v>82719.123000000007</v>
      </c>
      <c r="N55" s="190">
        <v>76607.740489999996</v>
      </c>
      <c r="O55" s="183"/>
      <c r="P55" s="190">
        <v>24801.036</v>
      </c>
      <c r="Q55" s="190">
        <v>33992.392910189999</v>
      </c>
      <c r="R55" s="190">
        <v>33793.46458</v>
      </c>
      <c r="S55" s="190">
        <v>34517.708039165002</v>
      </c>
      <c r="T55" s="190">
        <v>34668.584239999996</v>
      </c>
      <c r="U55" s="190">
        <v>31989.243060000001</v>
      </c>
      <c r="V55" s="190">
        <v>29634.828030000001</v>
      </c>
      <c r="W55" s="190">
        <v>29405.458890000002</v>
      </c>
      <c r="X55" s="190">
        <v>29932.025870000001</v>
      </c>
      <c r="Y55" s="190">
        <v>25840.713729999999</v>
      </c>
      <c r="Z55" s="184">
        <v>3040895</v>
      </c>
      <c r="AA55" s="185">
        <v>2930702</v>
      </c>
      <c r="AB55" s="185">
        <v>2893749</v>
      </c>
      <c r="AC55" s="185">
        <v>2906274</v>
      </c>
      <c r="AD55" s="191">
        <v>2972991</v>
      </c>
      <c r="AE55" s="191">
        <v>2999321</v>
      </c>
      <c r="AF55" s="185">
        <v>3046109</v>
      </c>
      <c r="AG55" s="185">
        <v>3042155.3676146446</v>
      </c>
      <c r="AH55" s="185">
        <v>3030798.4058480961</v>
      </c>
      <c r="AI55" s="186">
        <v>2934666.3106792225</v>
      </c>
      <c r="AJ55" s="185">
        <v>2698259.329431464</v>
      </c>
      <c r="AK55" s="184">
        <v>1223101.5969999998</v>
      </c>
      <c r="AL55" s="185">
        <v>1237700</v>
      </c>
      <c r="AM55" s="185">
        <v>1261203.5999999999</v>
      </c>
      <c r="AN55" s="185">
        <v>1239805</v>
      </c>
      <c r="AO55" s="187">
        <v>1289644</v>
      </c>
      <c r="AP55" s="187">
        <v>1282887</v>
      </c>
      <c r="AQ55" s="185">
        <v>1267878</v>
      </c>
      <c r="AR55" s="185">
        <v>1258350</v>
      </c>
      <c r="AS55" s="185">
        <v>1239956.051</v>
      </c>
      <c r="AT55" s="186">
        <v>1254793.416</v>
      </c>
      <c r="AU55" s="185">
        <v>1217917.635</v>
      </c>
      <c r="AV55" s="188">
        <f>Z55*Summary!$E$127+Trends!AK55*Summary!$E$128</f>
        <v>37094654.773429997</v>
      </c>
      <c r="AW55" s="186">
        <f>AA55*Summary!$E$127+Trends!AL55*Summary!$E$128</f>
        <v>36350849.200000003</v>
      </c>
      <c r="AX55" s="186">
        <f>AB55*Summary!$E$127+Trends!AM55*Summary!$E$128</f>
        <v>36291031.583999999</v>
      </c>
      <c r="AY55" s="186">
        <f>AC55*Summary!$E$127+Trends!AN55*Summary!$E$128</f>
        <v>36174432.349999994</v>
      </c>
      <c r="AZ55" s="186">
        <f>AD55*Summary!$E$127+Trends!AO55*Summary!$E$128</f>
        <v>37222699.459999993</v>
      </c>
      <c r="BA55" s="186">
        <f>AE55*Summary!$E$127+Trends!AP55*Summary!$E$128</f>
        <v>37367118.629999995</v>
      </c>
      <c r="BB55" s="186">
        <f>AF55*Summary!$E$127+Trends!AQ55*Summary!$E$128</f>
        <v>37593159.719999999</v>
      </c>
      <c r="BC55" s="186">
        <f>AG55*Summary!$E$127+Trends!AR55*Summary!$E$128</f>
        <v>37464044.977678619</v>
      </c>
      <c r="BD55" s="186">
        <f>AH55*Summary!$E$127+Trends!AS55*Summary!$E$128</f>
        <v>37184619.247059576</v>
      </c>
      <c r="BE55" s="186">
        <f>AI55*Summary!$E$127+Trends!AT55*Summary!$E$128</f>
        <v>36557142.0255417</v>
      </c>
      <c r="BF55" s="186">
        <f>AJ55*Summary!$E$127+Trends!AU55*Summary!$E$128</f>
        <v>34266481.269044861</v>
      </c>
      <c r="BG55" s="188"/>
      <c r="BH55" s="186">
        <f t="shared" si="4"/>
        <v>11787099.165983448</v>
      </c>
      <c r="BI55" s="186">
        <f t="shared" si="5"/>
        <v>15630748.572571727</v>
      </c>
      <c r="BJ55" s="186">
        <f t="shared" si="6"/>
        <v>15610256.577210065</v>
      </c>
      <c r="BK55" s="186">
        <f t="shared" si="7"/>
        <v>16222012.559402749</v>
      </c>
      <c r="BL55" s="186">
        <f t="shared" si="8"/>
        <v>16436017.724382076</v>
      </c>
      <c r="BM55" s="186">
        <f t="shared" si="9"/>
        <v>14457040.102235883</v>
      </c>
      <c r="BN55" s="186">
        <f t="shared" si="10"/>
        <v>13580615.463514581</v>
      </c>
      <c r="BO55" s="186">
        <f t="shared" si="11"/>
        <v>13411587.492431886</v>
      </c>
      <c r="BP55" s="186">
        <f t="shared" si="12"/>
        <v>13228250.991512306</v>
      </c>
      <c r="BQ55" s="189">
        <f t="shared" si="13"/>
        <v>11558496.926604699</v>
      </c>
      <c r="BR55" s="185"/>
      <c r="BT55" s="177"/>
    </row>
    <row r="56" spans="3:72" s="109" customFormat="1" hidden="1">
      <c r="C56" s="180" t="s">
        <v>67</v>
      </c>
      <c r="D56" s="181">
        <v>31388.615609750002</v>
      </c>
      <c r="E56" s="190">
        <v>31273.946</v>
      </c>
      <c r="F56" s="190">
        <v>31596.240472811998</v>
      </c>
      <c r="G56" s="190">
        <v>31641.001660000002</v>
      </c>
      <c r="H56" s="190">
        <v>31413.674466479999</v>
      </c>
      <c r="I56" s="190">
        <v>33160.975740000002</v>
      </c>
      <c r="J56" s="190">
        <v>33336.972030000004</v>
      </c>
      <c r="K56" s="190">
        <v>33482.087680000004</v>
      </c>
      <c r="L56" s="190">
        <v>33282.400049999997</v>
      </c>
      <c r="M56" s="190">
        <v>33537.019039999999</v>
      </c>
      <c r="N56" s="190">
        <v>29751.496739999999</v>
      </c>
      <c r="O56" s="183"/>
      <c r="P56" s="190">
        <v>13547.851000000001</v>
      </c>
      <c r="Q56" s="190">
        <v>16947.393412109999</v>
      </c>
      <c r="R56" s="190">
        <v>17044.119569999999</v>
      </c>
      <c r="S56" s="190">
        <v>17259.179651960003</v>
      </c>
      <c r="T56" s="190">
        <v>18275.529730000002</v>
      </c>
      <c r="U56" s="190">
        <v>18502.990750000001</v>
      </c>
      <c r="V56" s="190">
        <v>18626.57415</v>
      </c>
      <c r="W56" s="190">
        <v>18632.192869999999</v>
      </c>
      <c r="X56" s="190">
        <v>18866.44628</v>
      </c>
      <c r="Y56" s="190">
        <v>16454.592700000001</v>
      </c>
      <c r="Z56" s="184">
        <v>1544035</v>
      </c>
      <c r="AA56" s="185">
        <v>1570233</v>
      </c>
      <c r="AB56" s="185">
        <v>1474297</v>
      </c>
      <c r="AC56" s="185">
        <v>1495747</v>
      </c>
      <c r="AD56" s="185">
        <v>1538897</v>
      </c>
      <c r="AE56" s="185">
        <v>1486300</v>
      </c>
      <c r="AF56" s="185">
        <v>1649512</v>
      </c>
      <c r="AG56" s="185">
        <v>1492810.0500416658</v>
      </c>
      <c r="AH56" s="185">
        <v>1508865.6467547193</v>
      </c>
      <c r="AI56" s="186">
        <v>1486910.5239365485</v>
      </c>
      <c r="AJ56" s="185">
        <v>1309963.6474309785</v>
      </c>
      <c r="AK56" s="184">
        <v>644522.99300000002</v>
      </c>
      <c r="AL56" s="185">
        <v>653592</v>
      </c>
      <c r="AM56" s="185">
        <v>658411.49800000002</v>
      </c>
      <c r="AN56" s="185">
        <v>664836</v>
      </c>
      <c r="AO56" s="187">
        <v>685040</v>
      </c>
      <c r="AP56" s="187">
        <v>673105</v>
      </c>
      <c r="AQ56" s="185">
        <v>689230</v>
      </c>
      <c r="AR56" s="185">
        <v>706460</v>
      </c>
      <c r="AS56" s="185">
        <v>715001.44799999997</v>
      </c>
      <c r="AT56" s="186">
        <v>735231.82499999995</v>
      </c>
      <c r="AU56" s="185">
        <v>757909.82799999998</v>
      </c>
      <c r="AV56" s="188">
        <f>Z56*Summary!$E$127+Trends!AK56*Summary!$E$128</f>
        <v>19074372.798670001</v>
      </c>
      <c r="AW56" s="186">
        <f>AA56*Summary!$E$127+Trends!AL56*Summary!$E$128</f>
        <v>19378989.779999997</v>
      </c>
      <c r="AX56" s="186">
        <f>AB56*Summary!$E$127+Trends!AM56*Summary!$E$128</f>
        <v>18651018.86462</v>
      </c>
      <c r="AY56" s="186">
        <f>AC56*Summary!$E$127+Trends!AN56*Summary!$E$128</f>
        <v>18890229.539999999</v>
      </c>
      <c r="AZ56" s="186">
        <f>AD56*Summary!$E$127+Trends!AO56*Summary!$E$128</f>
        <v>19445623.299999997</v>
      </c>
      <c r="BA56" s="186">
        <f>AE56*Summary!$E$127+Trends!AP56*Summary!$E$128</f>
        <v>18897969.949999999</v>
      </c>
      <c r="BB56" s="186">
        <f>AF56*Summary!$E$127+Trends!AQ56*Summary!$E$128</f>
        <v>20384300.899999999</v>
      </c>
      <c r="BC56" s="186">
        <f>AG56*Summary!$E$127+Trends!AR56*Summary!$E$128</f>
        <v>19290588.805337492</v>
      </c>
      <c r="BD56" s="186">
        <f>AH56*Summary!$E$127+Trends!AS56*Summary!$E$128</f>
        <v>19507676.493833225</v>
      </c>
      <c r="BE56" s="186">
        <f>AI56*Summary!$E$127+Trends!AT56*Summary!$E$128</f>
        <v>19535987.54063604</v>
      </c>
      <c r="BF56" s="186">
        <f>AJ56*Summary!$E$127+Trends!AU56*Summary!$E$128</f>
        <v>18333806.691510923</v>
      </c>
      <c r="BG56" s="188"/>
      <c r="BH56" s="186">
        <f t="shared" si="4"/>
        <v>8394964.4880106524</v>
      </c>
      <c r="BI56" s="186">
        <f t="shared" si="5"/>
        <v>10003916.589614097</v>
      </c>
      <c r="BJ56" s="186">
        <f t="shared" si="6"/>
        <v>10175636.487245962</v>
      </c>
      <c r="BK56" s="186">
        <f t="shared" si="7"/>
        <v>10683739.221184017</v>
      </c>
      <c r="BL56" s="186">
        <f t="shared" si="8"/>
        <v>10414965.300350707</v>
      </c>
      <c r="BM56" s="186">
        <f t="shared" si="9"/>
        <v>11313880.896516342</v>
      </c>
      <c r="BN56" s="186">
        <f t="shared" si="10"/>
        <v>10731636.157634562</v>
      </c>
      <c r="BO56" s="186">
        <f t="shared" si="11"/>
        <v>10920810.708741723</v>
      </c>
      <c r="BP56" s="186">
        <f t="shared" si="12"/>
        <v>10990084.092523424</v>
      </c>
      <c r="BQ56" s="189">
        <f t="shared" si="13"/>
        <v>10139836.808403436</v>
      </c>
      <c r="BR56" s="185"/>
      <c r="BT56" s="177"/>
    </row>
    <row r="57" spans="3:72" s="109" customFormat="1" hidden="1">
      <c r="C57" s="180" t="s">
        <v>68</v>
      </c>
      <c r="D57" s="181">
        <v>29899.658379279994</v>
      </c>
      <c r="E57" s="190">
        <v>30021.246999999999</v>
      </c>
      <c r="F57" s="190">
        <v>30572.475190314002</v>
      </c>
      <c r="G57" s="182">
        <v>30208.284210000002</v>
      </c>
      <c r="H57" s="190">
        <v>30709.717291305002</v>
      </c>
      <c r="I57" s="190">
        <v>31379.124579999996</v>
      </c>
      <c r="J57" s="182">
        <v>32102.609710000004</v>
      </c>
      <c r="K57" s="182">
        <v>32258.188959999999</v>
      </c>
      <c r="L57" s="182">
        <v>32190.412969999998</v>
      </c>
      <c r="M57" s="182">
        <v>31842.519930000002</v>
      </c>
      <c r="N57" s="182">
        <v>27853.801889999999</v>
      </c>
      <c r="O57" s="183"/>
      <c r="P57" s="190">
        <v>12934.046</v>
      </c>
      <c r="Q57" s="190">
        <v>16844.687882910002</v>
      </c>
      <c r="R57" s="182">
        <v>16552.05747</v>
      </c>
      <c r="S57" s="190">
        <v>15201.066763074999</v>
      </c>
      <c r="T57" s="190">
        <v>15319.580999999998</v>
      </c>
      <c r="U57" s="182">
        <v>15621.289720000001</v>
      </c>
      <c r="V57" s="182">
        <v>15775.518919999999</v>
      </c>
      <c r="W57" s="182">
        <v>15727.36701</v>
      </c>
      <c r="X57" s="182">
        <v>15699.55744</v>
      </c>
      <c r="Y57" s="182">
        <v>13798.34635</v>
      </c>
      <c r="Z57" s="184">
        <v>1296822</v>
      </c>
      <c r="AA57" s="185">
        <v>1262070</v>
      </c>
      <c r="AB57" s="185">
        <v>1208024</v>
      </c>
      <c r="AC57" s="185">
        <v>1253991</v>
      </c>
      <c r="AD57" s="185">
        <v>1293180</v>
      </c>
      <c r="AE57" s="185">
        <v>1207223</v>
      </c>
      <c r="AF57" s="185">
        <v>1287766</v>
      </c>
      <c r="AG57" s="185">
        <v>1223035.2157698211</v>
      </c>
      <c r="AH57" s="185">
        <v>1254578.9745511017</v>
      </c>
      <c r="AI57" s="186">
        <v>1284250.3561750695</v>
      </c>
      <c r="AJ57" s="185">
        <v>1179981.9510643515</v>
      </c>
      <c r="AK57" s="184">
        <v>477025.223</v>
      </c>
      <c r="AL57" s="185">
        <v>468474</v>
      </c>
      <c r="AM57" s="185">
        <v>475257.91200000001</v>
      </c>
      <c r="AN57" s="185">
        <v>487991</v>
      </c>
      <c r="AO57" s="187">
        <v>499389</v>
      </c>
      <c r="AP57" s="187">
        <v>514386</v>
      </c>
      <c r="AQ57" s="185">
        <v>467225</v>
      </c>
      <c r="AR57" s="185">
        <v>431490</v>
      </c>
      <c r="AS57" s="185">
        <v>479360.24</v>
      </c>
      <c r="AT57" s="186">
        <v>502670.10700000002</v>
      </c>
      <c r="AU57" s="185">
        <v>510307.47700000001</v>
      </c>
      <c r="AV57" s="188">
        <f>Z57*Summary!$E$127+Trends!AK57*Summary!$E$128</f>
        <v>15365145.222369999</v>
      </c>
      <c r="AW57" s="186">
        <f>AA57*Summary!$E$127+Trends!AL57*Summary!$E$128</f>
        <v>14996517.059999999</v>
      </c>
      <c r="AX57" s="186">
        <f>AB57*Summary!$E$127+Trends!AM57*Summary!$E$128</f>
        <v>14627872.52328</v>
      </c>
      <c r="AY57" s="186">
        <f>AC57*Summary!$E$127+Trends!AN57*Summary!$E$128</f>
        <v>15129955.390000001</v>
      </c>
      <c r="AZ57" s="186">
        <f>AD57*Summary!$E$127+Trends!AO57*Summary!$E$128</f>
        <v>15563531.91</v>
      </c>
      <c r="BA57" s="186">
        <f>AE57*Summary!$E$127+Trends!AP57*Summary!$E$128</f>
        <v>15020099.639999999</v>
      </c>
      <c r="BB57" s="186">
        <f>AF57*Summary!$E$127+Trends!AQ57*Summary!$E$128</f>
        <v>15191927.35</v>
      </c>
      <c r="BC57" s="186">
        <f>AG57*Summary!$E$127+Trends!AR57*Summary!$E$128</f>
        <v>14303468.34773555</v>
      </c>
      <c r="BD57" s="186">
        <f>AH57*Summary!$E$127+Trends!AS57*Summary!$E$128</f>
        <v>15046770.539463922</v>
      </c>
      <c r="BE57" s="186">
        <f>AI57*Summary!$E$127+Trends!AT57*Summary!$E$128</f>
        <v>15524636.275348062</v>
      </c>
      <c r="BF57" s="186">
        <f>AJ57*Summary!$E$127+Trends!AU57*Summary!$E$128</f>
        <v>14757886.994251247</v>
      </c>
      <c r="BG57" s="188"/>
      <c r="BH57" s="186">
        <f t="shared" si="4"/>
        <v>6460945.526141027</v>
      </c>
      <c r="BI57" s="186">
        <f t="shared" si="5"/>
        <v>8059600.8504967913</v>
      </c>
      <c r="BJ57" s="186">
        <f t="shared" si="6"/>
        <v>8290172.6358531332</v>
      </c>
      <c r="BK57" s="186">
        <f t="shared" si="7"/>
        <v>7703824.9941865439</v>
      </c>
      <c r="BL57" s="186">
        <f t="shared" si="8"/>
        <v>7332952.5964440024</v>
      </c>
      <c r="BM57" s="186">
        <f t="shared" si="9"/>
        <v>7392467.4873275841</v>
      </c>
      <c r="BN57" s="186">
        <f t="shared" si="10"/>
        <v>6994956.7169167986</v>
      </c>
      <c r="BO57" s="186">
        <f t="shared" si="11"/>
        <v>7351445.9976002229</v>
      </c>
      <c r="BP57" s="186">
        <f t="shared" si="12"/>
        <v>7654228.3549081711</v>
      </c>
      <c r="BQ57" s="189">
        <f t="shared" si="13"/>
        <v>7310830.9215751076</v>
      </c>
      <c r="BR57" s="185"/>
    </row>
    <row r="58" spans="3:72" s="109" customFormat="1" hidden="1">
      <c r="C58" s="180" t="s">
        <v>69</v>
      </c>
      <c r="D58" s="181">
        <v>48006.742903759994</v>
      </c>
      <c r="E58" s="190">
        <v>48061.315000000002</v>
      </c>
      <c r="F58" s="190">
        <v>47343.944522514001</v>
      </c>
      <c r="G58" s="190">
        <v>46995.996849999996</v>
      </c>
      <c r="H58" s="190">
        <v>47940.634784119997</v>
      </c>
      <c r="I58" s="190">
        <v>48674.69601</v>
      </c>
      <c r="J58" s="190">
        <v>49312.718000000001</v>
      </c>
      <c r="K58" s="190">
        <v>49239.334089999997</v>
      </c>
      <c r="L58" s="190">
        <v>49543.606249999997</v>
      </c>
      <c r="M58" s="190">
        <v>49410.331810000003</v>
      </c>
      <c r="N58" s="190">
        <v>46535.80644</v>
      </c>
      <c r="O58" s="183"/>
      <c r="P58" s="190">
        <v>22309.304</v>
      </c>
      <c r="Q58" s="190">
        <v>24074.621639231998</v>
      </c>
      <c r="R58" s="190">
        <v>23920.446319999999</v>
      </c>
      <c r="S58" s="190">
        <v>24576.790773479999</v>
      </c>
      <c r="T58" s="190">
        <v>25384.19873</v>
      </c>
      <c r="U58" s="190">
        <v>25757.558290000001</v>
      </c>
      <c r="V58" s="190">
        <v>25702.875639999998</v>
      </c>
      <c r="W58" s="190">
        <v>25806.874340000002</v>
      </c>
      <c r="X58" s="190">
        <v>25952.38366</v>
      </c>
      <c r="Y58" s="190">
        <v>23989.164939999999</v>
      </c>
      <c r="Z58" s="184">
        <v>2168790</v>
      </c>
      <c r="AA58" s="185">
        <v>2114195</v>
      </c>
      <c r="AB58" s="185">
        <v>2098219</v>
      </c>
      <c r="AC58" s="185">
        <v>2074192</v>
      </c>
      <c r="AD58" s="185">
        <v>2074258</v>
      </c>
      <c r="AE58" s="185">
        <v>2067020</v>
      </c>
      <c r="AF58" s="185">
        <v>2134147</v>
      </c>
      <c r="AG58" s="185">
        <v>2124234.4528030846</v>
      </c>
      <c r="AH58" s="185">
        <v>2144268.7421625508</v>
      </c>
      <c r="AI58" s="186">
        <v>2146204.9859844316</v>
      </c>
      <c r="AJ58" s="185">
        <v>1922558.7156760716</v>
      </c>
      <c r="AK58" s="184">
        <v>785917.92299999995</v>
      </c>
      <c r="AL58" s="185">
        <v>773103</v>
      </c>
      <c r="AM58" s="185">
        <v>767627.71700000006</v>
      </c>
      <c r="AN58" s="185">
        <v>741938</v>
      </c>
      <c r="AO58" s="187">
        <v>801861</v>
      </c>
      <c r="AP58" s="187">
        <v>772711</v>
      </c>
      <c r="AQ58" s="185">
        <v>779917</v>
      </c>
      <c r="AR58" s="185">
        <v>808897</v>
      </c>
      <c r="AS58" s="185">
        <v>825713.18900000001</v>
      </c>
      <c r="AT58" s="186">
        <v>811703.27099999995</v>
      </c>
      <c r="AU58" s="185">
        <v>780515.54</v>
      </c>
      <c r="AV58" s="188">
        <f>Z58*Summary!$E$127+Trends!AK58*Summary!$E$128</f>
        <v>25575702.635370001</v>
      </c>
      <c r="AW58" s="186">
        <f>AA58*Summary!$E$127+Trends!AL58*Summary!$E$128</f>
        <v>25002899.07</v>
      </c>
      <c r="AX58" s="186">
        <f>AB58*Summary!$E$127+Trends!AM58*Summary!$E$128</f>
        <v>24817700.336229999</v>
      </c>
      <c r="AY58" s="186">
        <f>AC58*Summary!$E$127+Trends!AN58*Summary!$E$128</f>
        <v>24361303.419999998</v>
      </c>
      <c r="AZ58" s="186">
        <f>AD58*Summary!$E$127+Trends!AO58*Summary!$E$128</f>
        <v>24972453.390000001</v>
      </c>
      <c r="BA58" s="186">
        <f>AE58*Summary!$E$127+Trends!AP58*Summary!$E$128</f>
        <v>24616787.09</v>
      </c>
      <c r="BB58" s="186">
        <f>AF58*Summary!$E$127+Trends!AQ58*Summary!$E$128</f>
        <v>25233944.93</v>
      </c>
      <c r="BC58" s="186">
        <f>AG58*Summary!$E$127+Trends!AR58*Summary!$E$128</f>
        <v>25448959.497704983</v>
      </c>
      <c r="BD58" s="186">
        <f>AH58*Summary!$E$127+Trends!AS58*Summary!$E$128</f>
        <v>25782594.20742666</v>
      </c>
      <c r="BE58" s="186">
        <f>AI58*Summary!$E$127+Trends!AT58*Summary!$E$128</f>
        <v>25655516.717963893</v>
      </c>
      <c r="BF58" s="186">
        <f>AJ58*Summary!$E$127+Trends!AU58*Summary!$E$128</f>
        <v>23526178.94957618</v>
      </c>
      <c r="BG58" s="188"/>
      <c r="BH58" s="186">
        <f t="shared" si="4"/>
        <v>11605951.194509497</v>
      </c>
      <c r="BI58" s="186">
        <f t="shared" si="5"/>
        <v>12619919.011320511</v>
      </c>
      <c r="BJ58" s="186">
        <f t="shared" si="6"/>
        <v>12399635.922252864</v>
      </c>
      <c r="BK58" s="186">
        <f t="shared" si="7"/>
        <v>12802140.91511799</v>
      </c>
      <c r="BL58" s="186">
        <f t="shared" si="8"/>
        <v>12837828.827082559</v>
      </c>
      <c r="BM58" s="186">
        <f t="shared" si="9"/>
        <v>13180470.14608128</v>
      </c>
      <c r="BN58" s="186">
        <f t="shared" si="10"/>
        <v>13284327.524440492</v>
      </c>
      <c r="BO58" s="186">
        <f t="shared" si="11"/>
        <v>13429950.284861868</v>
      </c>
      <c r="BP58" s="186">
        <f t="shared" si="12"/>
        <v>13475356.033237351</v>
      </c>
      <c r="BQ58" s="189">
        <f t="shared" si="13"/>
        <v>12127723.368391655</v>
      </c>
      <c r="BR58" s="185"/>
    </row>
    <row r="59" spans="3:72" s="109" customFormat="1" hidden="1">
      <c r="C59" s="180" t="s">
        <v>70</v>
      </c>
      <c r="D59" s="181">
        <v>45438.690818390001</v>
      </c>
      <c r="E59" s="190">
        <v>46512.711000000003</v>
      </c>
      <c r="F59" s="190">
        <v>46889.040260759997</v>
      </c>
      <c r="G59" s="190">
        <v>47757.967100000002</v>
      </c>
      <c r="H59" s="190">
        <v>48251.736113770006</v>
      </c>
      <c r="I59" s="190">
        <v>48180.25258</v>
      </c>
      <c r="J59" s="190">
        <v>49155.612979999998</v>
      </c>
      <c r="K59" s="190">
        <v>49220.897660000002</v>
      </c>
      <c r="L59" s="190">
        <v>50045.427459999999</v>
      </c>
      <c r="M59" s="190">
        <v>51360.303250000004</v>
      </c>
      <c r="N59" s="190">
        <v>48374.10643</v>
      </c>
      <c r="O59" s="183"/>
      <c r="P59" s="190">
        <v>21346.651999999998</v>
      </c>
      <c r="Q59" s="190">
        <v>25481.061341879999</v>
      </c>
      <c r="R59" s="190">
        <v>26389.437330000001</v>
      </c>
      <c r="S59" s="190">
        <v>27110.935596200001</v>
      </c>
      <c r="T59" s="190">
        <v>27133.012640000001</v>
      </c>
      <c r="U59" s="190">
        <v>27948.17843</v>
      </c>
      <c r="V59" s="190">
        <v>28291.119870000002</v>
      </c>
      <c r="W59" s="190">
        <v>28965.178769999999</v>
      </c>
      <c r="X59" s="190">
        <v>27068.689030000001</v>
      </c>
      <c r="Y59" s="190">
        <v>24744.047729999998</v>
      </c>
      <c r="Z59" s="184">
        <v>2216089</v>
      </c>
      <c r="AA59" s="185">
        <v>2219551</v>
      </c>
      <c r="AB59" s="185">
        <v>2149410</v>
      </c>
      <c r="AC59" s="185">
        <v>2191565</v>
      </c>
      <c r="AD59" s="185">
        <v>2207390</v>
      </c>
      <c r="AE59" s="185">
        <v>2202138</v>
      </c>
      <c r="AF59" s="185">
        <v>2128383</v>
      </c>
      <c r="AG59" s="185">
        <v>2046206.4473447795</v>
      </c>
      <c r="AH59" s="185">
        <v>2068534.7411770113</v>
      </c>
      <c r="AI59" s="186">
        <v>2089132.4596164329</v>
      </c>
      <c r="AJ59" s="185">
        <v>1827355.4358366539</v>
      </c>
      <c r="AK59" s="184">
        <v>738515.99399999995</v>
      </c>
      <c r="AL59" s="185">
        <v>756451</v>
      </c>
      <c r="AM59" s="185">
        <v>675030.23800000001</v>
      </c>
      <c r="AN59" s="185">
        <v>680070</v>
      </c>
      <c r="AO59" s="187">
        <v>674816</v>
      </c>
      <c r="AP59" s="187">
        <v>726422</v>
      </c>
      <c r="AQ59" s="185">
        <v>696992</v>
      </c>
      <c r="AR59" s="185">
        <v>690730</v>
      </c>
      <c r="AS59" s="185">
        <v>668943.47699999996</v>
      </c>
      <c r="AT59" s="186">
        <v>757321.88699999999</v>
      </c>
      <c r="AU59" s="185">
        <v>674077.43900000001</v>
      </c>
      <c r="AV59" s="188">
        <f>Z59*Summary!$E$127+Trends!AK59*Summary!$E$128</f>
        <v>25475798.878859997</v>
      </c>
      <c r="AW59" s="186">
        <f>AA59*Summary!$E$127+Trends!AL59*Summary!$E$128</f>
        <v>25686598.789999999</v>
      </c>
      <c r="AX59" s="186">
        <f>AB59*Summary!$E$127+Trends!AM59*Summary!$E$128</f>
        <v>24288779.125220001</v>
      </c>
      <c r="AY59" s="186">
        <f>AC59*Summary!$E$127+Trends!AN59*Summary!$E$128</f>
        <v>24681589.800000001</v>
      </c>
      <c r="AZ59" s="186">
        <f>AD59*Summary!$E$127+Trends!AO59*Summary!$E$128</f>
        <v>24756234.039999999</v>
      </c>
      <c r="BA59" s="186">
        <f>AE59*Summary!$E$127+Trends!AP59*Summary!$E$128</f>
        <v>25239557.98</v>
      </c>
      <c r="BB59" s="186">
        <f>AF59*Summary!$E$127+Trends!AQ59*Summary!$E$128</f>
        <v>24342250.780000001</v>
      </c>
      <c r="BC59" s="186">
        <f>AG59*Summary!$E$127+Trends!AR59*Summary!$E$128</f>
        <v>23612810.923492715</v>
      </c>
      <c r="BD59" s="186">
        <f>AH59*Summary!$E$127+Trends!AS59*Summary!$E$128</f>
        <v>23571665.43416379</v>
      </c>
      <c r="BE59" s="186">
        <f>AI59*Summary!$E$127+Trends!AT59*Summary!$E$128</f>
        <v>24639082.951423109</v>
      </c>
      <c r="BF59" s="186">
        <f>AJ59*Summary!$E$127+Trends!AU59*Summary!$E$128</f>
        <v>21670428.133686896</v>
      </c>
      <c r="BG59" s="188"/>
      <c r="BH59" s="186">
        <f t="shared" si="4"/>
        <v>11788667.520019442</v>
      </c>
      <c r="BI59" s="186">
        <f t="shared" si="5"/>
        <v>13199329.040800327</v>
      </c>
      <c r="BJ59" s="186">
        <f t="shared" si="6"/>
        <v>13638211.732673757</v>
      </c>
      <c r="BK59" s="186">
        <f t="shared" si="7"/>
        <v>13909648.040028932</v>
      </c>
      <c r="BL59" s="186">
        <f t="shared" si="8"/>
        <v>14213816.014398172</v>
      </c>
      <c r="BM59" s="186">
        <f t="shared" si="9"/>
        <v>13840160.399668904</v>
      </c>
      <c r="BN59" s="186">
        <f t="shared" si="10"/>
        <v>13572138.991017699</v>
      </c>
      <c r="BO59" s="186">
        <f t="shared" si="11"/>
        <v>13642754.950048015</v>
      </c>
      <c r="BP59" s="186">
        <f t="shared" si="12"/>
        <v>12985664.651355943</v>
      </c>
      <c r="BQ59" s="189">
        <f t="shared" si="13"/>
        <v>11084734.120007254</v>
      </c>
      <c r="BR59" s="185"/>
    </row>
    <row r="60" spans="3:72" s="109" customFormat="1" hidden="1">
      <c r="C60" s="180" t="s">
        <v>71</v>
      </c>
      <c r="D60" s="181">
        <v>14549.383103049999</v>
      </c>
      <c r="E60" s="190">
        <v>14248.228999999999</v>
      </c>
      <c r="F60" s="190">
        <v>14198.826297420001</v>
      </c>
      <c r="G60" s="190">
        <v>14129.250049999999</v>
      </c>
      <c r="H60" s="190">
        <v>14301.497302349999</v>
      </c>
      <c r="I60" s="190">
        <v>14629.439180000001</v>
      </c>
      <c r="J60" s="190">
        <v>14838.257520000001</v>
      </c>
      <c r="K60" s="190">
        <v>14738.117890000001</v>
      </c>
      <c r="L60" s="190">
        <v>14783.554889999999</v>
      </c>
      <c r="M60" s="190">
        <v>14871.46816</v>
      </c>
      <c r="N60" s="190">
        <v>13086.41725</v>
      </c>
      <c r="O60" s="183"/>
      <c r="P60" s="190">
        <v>5601.0860000000002</v>
      </c>
      <c r="Q60" s="190">
        <v>5764.91941038</v>
      </c>
      <c r="R60" s="190">
        <v>5747.2859799999997</v>
      </c>
      <c r="S60" s="190">
        <v>5805.6984460999993</v>
      </c>
      <c r="T60" s="190">
        <v>5925.2223700000004</v>
      </c>
      <c r="U60" s="190">
        <v>6107.3960200000001</v>
      </c>
      <c r="V60" s="190">
        <v>6125.2549900000004</v>
      </c>
      <c r="W60" s="190">
        <v>6178.8825900000002</v>
      </c>
      <c r="X60" s="190">
        <v>6221.3095300000004</v>
      </c>
      <c r="Y60" s="190">
        <v>5178.7261099999996</v>
      </c>
      <c r="Z60" s="184">
        <v>654826</v>
      </c>
      <c r="AA60" s="185">
        <v>654010</v>
      </c>
      <c r="AB60" s="185">
        <v>632819</v>
      </c>
      <c r="AC60" s="185">
        <v>715904</v>
      </c>
      <c r="AD60" s="185">
        <v>761279</v>
      </c>
      <c r="AE60" s="185">
        <v>724673</v>
      </c>
      <c r="AF60" s="185">
        <v>742407</v>
      </c>
      <c r="AG60" s="185">
        <v>597697.29309765704</v>
      </c>
      <c r="AH60" s="185">
        <v>601700.40126967232</v>
      </c>
      <c r="AI60" s="186">
        <v>593253</v>
      </c>
      <c r="AJ60" s="193">
        <v>535246.35230348178</v>
      </c>
      <c r="AK60" s="184">
        <v>186101.16199999998</v>
      </c>
      <c r="AL60" s="185">
        <v>190108</v>
      </c>
      <c r="AM60" s="185">
        <v>189575.37700000001</v>
      </c>
      <c r="AN60" s="185">
        <v>201273</v>
      </c>
      <c r="AO60" s="187">
        <v>180943</v>
      </c>
      <c r="AP60" s="187">
        <v>192695</v>
      </c>
      <c r="AQ60" s="185">
        <v>193452</v>
      </c>
      <c r="AR60" s="185">
        <v>238750</v>
      </c>
      <c r="AS60" s="185">
        <v>181963.09400000001</v>
      </c>
      <c r="AT60" s="186">
        <v>180116</v>
      </c>
      <c r="AU60" s="185">
        <v>180303.894</v>
      </c>
      <c r="AV60" s="188">
        <f>Z60*Summary!$E$127+Trends!AK60*Summary!$E$128</f>
        <v>7200461.4407799989</v>
      </c>
      <c r="AW60" s="186">
        <f>AA60*Summary!$E$127+Trends!AL60*Summary!$E$128</f>
        <v>7234681.5199999996</v>
      </c>
      <c r="AX60" s="186">
        <f>AB60*Summary!$E$127+Trends!AM60*Summary!$E$128</f>
        <v>7057606.9916299991</v>
      </c>
      <c r="AY60" s="186">
        <f>AC60*Summary!$E$127+Trends!AN60*Summary!$E$128</f>
        <v>7849794.2699999996</v>
      </c>
      <c r="AZ60" s="186">
        <f>AD60*Summary!$E$127+Trends!AO60*Summary!$E$128</f>
        <v>8010169.0699999994</v>
      </c>
      <c r="BA60" s="186">
        <f>AE60*Summary!$E$127+Trends!AP60*Summary!$E$128</f>
        <v>7833413.3499999996</v>
      </c>
      <c r="BB60" s="186">
        <f>AF60*Summary!$E$127+Trends!AQ60*Summary!$E$128</f>
        <v>7984772.5800000001</v>
      </c>
      <c r="BC60" s="186">
        <f>AG60*Summary!$E$127+Trends!AR60*Summary!$E$128</f>
        <v>7274210.5740910219</v>
      </c>
      <c r="BD60" s="186">
        <f>AH60*Summary!$E$127+Trends!AS60*Summary!$E$128</f>
        <v>6727977.178144346</v>
      </c>
      <c r="BE60" s="186">
        <f>AI60*Summary!$E$127+Trends!AT60*Summary!$E$128</f>
        <v>6640731.3399999999</v>
      </c>
      <c r="BF60" s="186">
        <f>AJ60*Summary!$E$127+Trends!AU60*Summary!$E$128</f>
        <v>6172792.1335182022</v>
      </c>
      <c r="BG60" s="188"/>
      <c r="BH60" s="186">
        <f t="shared" si="4"/>
        <v>2844007.7272853157</v>
      </c>
      <c r="BI60" s="186">
        <f t="shared" si="5"/>
        <v>2865485.8285205117</v>
      </c>
      <c r="BJ60" s="186">
        <f t="shared" si="6"/>
        <v>3193022.4459333802</v>
      </c>
      <c r="BK60" s="186">
        <f t="shared" si="7"/>
        <v>3251731.2795671895</v>
      </c>
      <c r="BL60" s="186">
        <f t="shared" si="8"/>
        <v>3172692.7767901379</v>
      </c>
      <c r="BM60" s="186">
        <f t="shared" si="9"/>
        <v>3286515.8331405702</v>
      </c>
      <c r="BN60" s="186">
        <f t="shared" si="10"/>
        <v>3023207.9122866751</v>
      </c>
      <c r="BO60" s="186">
        <f t="shared" si="11"/>
        <v>2812001.6708615497</v>
      </c>
      <c r="BP60" s="186">
        <f t="shared" si="12"/>
        <v>2778074.4125072095</v>
      </c>
      <c r="BQ60" s="189">
        <f t="shared" si="13"/>
        <v>2442777.055229025</v>
      </c>
      <c r="BR60" s="185"/>
    </row>
    <row r="61" spans="3:72" s="109" customFormat="1" hidden="1">
      <c r="C61" s="180" t="s">
        <v>72</v>
      </c>
      <c r="D61" s="181">
        <v>56125.521955960008</v>
      </c>
      <c r="E61" s="190">
        <v>56220.506999999998</v>
      </c>
      <c r="F61" s="190">
        <v>56475.588259896002</v>
      </c>
      <c r="G61" s="182">
        <v>56687.639750000002</v>
      </c>
      <c r="H61" s="190">
        <v>56431.874245790001</v>
      </c>
      <c r="I61" s="190">
        <v>57515.82372</v>
      </c>
      <c r="J61" s="182">
        <v>59137.327170000004</v>
      </c>
      <c r="K61" s="182">
        <v>60044.564319999998</v>
      </c>
      <c r="L61" s="182">
        <v>59775.435469999997</v>
      </c>
      <c r="M61" s="182">
        <v>60215.89374</v>
      </c>
      <c r="N61" s="182">
        <v>50885.123829999997</v>
      </c>
      <c r="O61" s="183"/>
      <c r="P61" s="190">
        <v>28990.183000000001</v>
      </c>
      <c r="Q61" s="190">
        <v>36534.864601745998</v>
      </c>
      <c r="R61" s="182">
        <v>36475.643519999998</v>
      </c>
      <c r="S61" s="190">
        <v>36575.332808439998</v>
      </c>
      <c r="T61" s="190">
        <v>37119.010629999997</v>
      </c>
      <c r="U61" s="182">
        <v>37253.792440000005</v>
      </c>
      <c r="V61" s="182">
        <v>37843.650150000001</v>
      </c>
      <c r="W61" s="182">
        <v>37729.490060000004</v>
      </c>
      <c r="X61" s="182">
        <v>38130.81379</v>
      </c>
      <c r="Y61" s="182">
        <v>31395.454819999999</v>
      </c>
      <c r="Z61" s="184">
        <v>2621571</v>
      </c>
      <c r="AA61" s="185">
        <v>2602742</v>
      </c>
      <c r="AB61" s="185">
        <v>2657326</v>
      </c>
      <c r="AC61" s="185">
        <v>2744629</v>
      </c>
      <c r="AD61" s="185">
        <v>2684519</v>
      </c>
      <c r="AE61" s="185">
        <v>2711766</v>
      </c>
      <c r="AF61" s="185">
        <v>2630070</v>
      </c>
      <c r="AG61" s="185">
        <v>2599291.7118843338</v>
      </c>
      <c r="AH61" s="185">
        <v>2607423.4712992916</v>
      </c>
      <c r="AI61" s="186">
        <v>2602301.7296335958</v>
      </c>
      <c r="AJ61" s="185">
        <v>2054135.7240129858</v>
      </c>
      <c r="AK61" s="184">
        <v>524617.14800000004</v>
      </c>
      <c r="AL61" s="185">
        <v>507018</v>
      </c>
      <c r="AM61" s="185">
        <v>509605.39699999994</v>
      </c>
      <c r="AN61" s="185">
        <v>487783</v>
      </c>
      <c r="AO61" s="187">
        <v>520116</v>
      </c>
      <c r="AP61" s="187">
        <v>536130</v>
      </c>
      <c r="AQ61" s="185">
        <v>536726</v>
      </c>
      <c r="AR61" s="185">
        <v>532306</v>
      </c>
      <c r="AS61" s="185">
        <v>544903.52099999995</v>
      </c>
      <c r="AT61" s="186">
        <v>550737.79299999995</v>
      </c>
      <c r="AU61" s="185">
        <v>503354.78700000001</v>
      </c>
      <c r="AV61" s="188">
        <f>Z61*Summary!$E$127+Trends!AK61*Summary!$E$128</f>
        <v>26580573.838119999</v>
      </c>
      <c r="AW61" s="186">
        <f>AA61*Summary!$E$127+Trends!AL61*Summary!$E$128</f>
        <v>26248723.619999997</v>
      </c>
      <c r="AX61" s="186">
        <f>AB61*Summary!$E$127+Trends!AM61*Summary!$E$128</f>
        <v>26717219.595429998</v>
      </c>
      <c r="AY61" s="186">
        <f>AC61*Summary!$E$127+Trends!AN61*Summary!$E$128</f>
        <v>27202003.669999998</v>
      </c>
      <c r="AZ61" s="186">
        <f>AD61*Summary!$E$127+Trends!AO61*Summary!$E$128</f>
        <v>27044585.939999998</v>
      </c>
      <c r="BA61" s="186">
        <f>AE61*Summary!$E$127+Trends!AP61*Summary!$E$128</f>
        <v>27428469.299999997</v>
      </c>
      <c r="BB61" s="186">
        <f>AF61*Summary!$E$127+Trends!AQ61*Summary!$E$128</f>
        <v>26772804.939999998</v>
      </c>
      <c r="BC61" s="186">
        <f>AG61*Summary!$E$127+Trends!AR61*Summary!$E$128</f>
        <v>26478461.006263103</v>
      </c>
      <c r="BD61" s="186">
        <f>AH61*Summary!$E$127+Trends!AS61*Summary!$E$128</f>
        <v>26672696.996514261</v>
      </c>
      <c r="BE61" s="186">
        <f>AI61*Summary!$E$127+Trends!AT61*Summary!$E$128</f>
        <v>26690662.120702125</v>
      </c>
      <c r="BF61" s="186">
        <f>AJ61*Summary!$E$127+Trends!AU61*Summary!$E$128</f>
        <v>21767684.644035183</v>
      </c>
      <c r="BG61" s="188"/>
      <c r="BH61" s="186">
        <f t="shared" si="4"/>
        <v>13535191.015979676</v>
      </c>
      <c r="BI61" s="186">
        <f t="shared" si="5"/>
        <v>17283750.918399859</v>
      </c>
      <c r="BJ61" s="186">
        <f t="shared" si="6"/>
        <v>17503120.49103529</v>
      </c>
      <c r="BK61" s="186">
        <f t="shared" si="7"/>
        <v>17528475.611382905</v>
      </c>
      <c r="BL61" s="186">
        <f t="shared" si="8"/>
        <v>17701522.427423708</v>
      </c>
      <c r="BM61" s="186">
        <f t="shared" si="9"/>
        <v>16865634.042002082</v>
      </c>
      <c r="BN61" s="186">
        <f t="shared" si="10"/>
        <v>16688298.53592046</v>
      </c>
      <c r="BO61" s="186">
        <f t="shared" si="11"/>
        <v>16835465.075088255</v>
      </c>
      <c r="BP61" s="186">
        <f t="shared" si="12"/>
        <v>16901462.455256075</v>
      </c>
      <c r="BQ61" s="189">
        <f t="shared" si="13"/>
        <v>13430376.27383945</v>
      </c>
      <c r="BR61" s="185"/>
    </row>
    <row r="62" spans="3:72" s="109" customFormat="1" hidden="1">
      <c r="C62" s="180" t="s">
        <v>73</v>
      </c>
      <c r="D62" s="181">
        <v>54361.986328790008</v>
      </c>
      <c r="E62" s="190">
        <v>54791.713000000003</v>
      </c>
      <c r="F62" s="190">
        <v>55939.716753461995</v>
      </c>
      <c r="G62" s="190">
        <v>56311.172829999996</v>
      </c>
      <c r="H62" s="190">
        <v>57552.345776629998</v>
      </c>
      <c r="I62" s="190">
        <v>59257.48057</v>
      </c>
      <c r="J62" s="190">
        <v>61824.851349999997</v>
      </c>
      <c r="K62" s="190">
        <v>62660.411370000002</v>
      </c>
      <c r="L62" s="190">
        <v>66771.980720000007</v>
      </c>
      <c r="M62" s="190">
        <v>64889.78224</v>
      </c>
      <c r="N62" s="190">
        <v>54126.825579999997</v>
      </c>
      <c r="O62" s="183"/>
      <c r="P62" s="190">
        <v>29372.013999999999</v>
      </c>
      <c r="Q62" s="190">
        <v>34365.927454997996</v>
      </c>
      <c r="R62" s="190">
        <v>34224.924489999998</v>
      </c>
      <c r="S62" s="190">
        <v>34954.817989219999</v>
      </c>
      <c r="T62" s="190">
        <v>35454.472670000003</v>
      </c>
      <c r="U62" s="190">
        <v>36923.479050000002</v>
      </c>
      <c r="V62" s="190">
        <v>37565.501650000006</v>
      </c>
      <c r="W62" s="190">
        <v>39389.917309999997</v>
      </c>
      <c r="X62" s="190">
        <v>38649.051049999995</v>
      </c>
      <c r="Y62" s="190">
        <v>30978.10024</v>
      </c>
      <c r="Z62" s="184">
        <v>2733501</v>
      </c>
      <c r="AA62" s="185">
        <v>2725178</v>
      </c>
      <c r="AB62" s="185">
        <v>2726824</v>
      </c>
      <c r="AC62" s="185">
        <v>2682202</v>
      </c>
      <c r="AD62" s="185">
        <v>2669839</v>
      </c>
      <c r="AE62" s="185">
        <v>2669169</v>
      </c>
      <c r="AF62" s="185">
        <v>2715141</v>
      </c>
      <c r="AG62" s="185">
        <v>2666559.381362339</v>
      </c>
      <c r="AH62" s="185">
        <v>2714696.5747611262</v>
      </c>
      <c r="AI62" s="186">
        <v>2658599.7814929313</v>
      </c>
      <c r="AJ62" s="185">
        <v>2109169.5147082317</v>
      </c>
      <c r="AK62" s="184">
        <v>398474.32500000001</v>
      </c>
      <c r="AL62" s="185">
        <v>414608</v>
      </c>
      <c r="AM62" s="185">
        <v>423269.14699999994</v>
      </c>
      <c r="AN62" s="185">
        <v>503686</v>
      </c>
      <c r="AO62" s="187">
        <v>417000</v>
      </c>
      <c r="AP62" s="187">
        <v>442132</v>
      </c>
      <c r="AQ62" s="185">
        <v>451241</v>
      </c>
      <c r="AR62" s="185">
        <v>438001</v>
      </c>
      <c r="AS62" s="185">
        <v>451235.50900000002</v>
      </c>
      <c r="AT62" s="186">
        <v>452668.96799999999</v>
      </c>
      <c r="AU62" s="185">
        <v>399488.06</v>
      </c>
      <c r="AV62" s="188">
        <f>Z62*Summary!$E$127+Trends!AK62*Summary!$E$128</f>
        <v>26201811.471749999</v>
      </c>
      <c r="AW62" s="186">
        <f>AA62*Summary!$E$127+Trends!AL62*Summary!$E$128</f>
        <v>26298797.32</v>
      </c>
      <c r="AX62" s="186">
        <f>AB62*Summary!$E$127+Trends!AM62*Summary!$E$128</f>
        <v>26400387.007929996</v>
      </c>
      <c r="AY62" s="186">
        <f>AC62*Summary!$E$127+Trends!AN62*Summary!$E$128</f>
        <v>26858396.539999999</v>
      </c>
      <c r="AZ62" s="186">
        <f>AD62*Summary!$E$127+Trends!AO62*Summary!$E$128</f>
        <v>25874925.899999999</v>
      </c>
      <c r="BA62" s="186">
        <f>AE62*Summary!$E$127+Trends!AP62*Summary!$E$128</f>
        <v>26125593.979999997</v>
      </c>
      <c r="BB62" s="186">
        <f>AF62*Summary!$E$127+Trends!AQ62*Summary!$E$128</f>
        <v>26590787.889999997</v>
      </c>
      <c r="BC62" s="186">
        <f>AG62*Summary!$E$127+Trends!AR62*Summary!$E$128</f>
        <v>26062361.179034941</v>
      </c>
      <c r="BD62" s="186">
        <f>AH62*Summary!$E$127+Trends!AS62*Summary!$E$128</f>
        <v>26587132.09227512</v>
      </c>
      <c r="BE62" s="186">
        <f>AI62*Summary!$E$127+Trends!AT62*Summary!$E$128</f>
        <v>26147355.014012739</v>
      </c>
      <c r="BF62" s="186">
        <f>AJ62*Summary!$E$127+Trends!AU62*Summary!$E$128</f>
        <v>21155056.400536675</v>
      </c>
      <c r="BG62" s="188"/>
      <c r="BH62" s="186">
        <f t="shared" si="4"/>
        <v>14097910.081150455</v>
      </c>
      <c r="BI62" s="186">
        <f t="shared" si="5"/>
        <v>16218776.878991695</v>
      </c>
      <c r="BJ62" s="186">
        <f t="shared" si="6"/>
        <v>16324053.421495346</v>
      </c>
      <c r="BK62" s="186">
        <f t="shared" si="7"/>
        <v>15715316.432615705</v>
      </c>
      <c r="BL62" s="186">
        <f t="shared" si="8"/>
        <v>15631261.215320118</v>
      </c>
      <c r="BM62" s="186">
        <f t="shared" si="9"/>
        <v>15880740.157726375</v>
      </c>
      <c r="BN62" s="186">
        <f t="shared" si="10"/>
        <v>15624628.86004403</v>
      </c>
      <c r="BO62" s="186">
        <f t="shared" si="11"/>
        <v>15684197.523154801</v>
      </c>
      <c r="BP62" s="186">
        <f t="shared" si="12"/>
        <v>15573645.401079891</v>
      </c>
      <c r="BQ62" s="189">
        <f t="shared" si="13"/>
        <v>12107553.892848833</v>
      </c>
      <c r="BR62" s="185"/>
    </row>
    <row r="63" spans="3:72" s="109" customFormat="1" hidden="1">
      <c r="C63" s="180" t="s">
        <v>74</v>
      </c>
      <c r="D63" s="181">
        <v>97567.360271409489</v>
      </c>
      <c r="E63" s="190">
        <v>94754.27</v>
      </c>
      <c r="F63" s="190">
        <v>94547.98654310999</v>
      </c>
      <c r="G63" s="190">
        <v>95131.564989999984</v>
      </c>
      <c r="H63" s="190">
        <v>97384.022333964997</v>
      </c>
      <c r="I63" s="190">
        <v>97843.196500000005</v>
      </c>
      <c r="J63" s="190">
        <v>99432.538100000005</v>
      </c>
      <c r="K63" s="190">
        <v>101757.19868999999</v>
      </c>
      <c r="L63" s="190">
        <v>102397.55748999999</v>
      </c>
      <c r="M63" s="190">
        <v>102173.71755</v>
      </c>
      <c r="N63" s="190">
        <v>86546.994930000001</v>
      </c>
      <c r="O63" s="183"/>
      <c r="P63" s="190">
        <v>41561.377</v>
      </c>
      <c r="Q63" s="190">
        <v>50211.760515000002</v>
      </c>
      <c r="R63" s="190">
        <v>50585.676679999997</v>
      </c>
      <c r="S63" s="190">
        <v>51992.348797125</v>
      </c>
      <c r="T63" s="190">
        <v>52012.177909999999</v>
      </c>
      <c r="U63" s="190">
        <v>53616.749329999999</v>
      </c>
      <c r="V63" s="190">
        <v>55007.074059999999</v>
      </c>
      <c r="W63" s="190">
        <v>55188.213149999996</v>
      </c>
      <c r="X63" s="190">
        <v>54867.74235</v>
      </c>
      <c r="Y63" s="190">
        <v>45401.830029999997</v>
      </c>
      <c r="Z63" s="184">
        <v>4426295</v>
      </c>
      <c r="AA63" s="185">
        <v>4358852</v>
      </c>
      <c r="AB63" s="185">
        <v>4350116</v>
      </c>
      <c r="AC63" s="185">
        <v>4455916</v>
      </c>
      <c r="AD63" s="185">
        <v>4378937</v>
      </c>
      <c r="AE63" s="185">
        <v>4353075</v>
      </c>
      <c r="AF63" s="185">
        <v>4449726</v>
      </c>
      <c r="AG63" s="185">
        <v>4394856.7959029097</v>
      </c>
      <c r="AH63" s="185">
        <v>4458705.8467900213</v>
      </c>
      <c r="AI63" s="186">
        <v>4381530.2539904658</v>
      </c>
      <c r="AJ63" s="185">
        <v>3705703.6771276686</v>
      </c>
      <c r="AK63" s="184">
        <v>821625.77100000007</v>
      </c>
      <c r="AL63" s="185">
        <v>822931</v>
      </c>
      <c r="AM63" s="185">
        <v>840560.45600000001</v>
      </c>
      <c r="AN63" s="185">
        <v>910769</v>
      </c>
      <c r="AO63" s="187">
        <v>926313</v>
      </c>
      <c r="AP63" s="187">
        <v>955376</v>
      </c>
      <c r="AQ63" s="185">
        <v>983664</v>
      </c>
      <c r="AR63" s="185">
        <v>931965</v>
      </c>
      <c r="AS63" s="185">
        <v>1037517.044</v>
      </c>
      <c r="AT63" s="186">
        <v>969507.679</v>
      </c>
      <c r="AU63" s="185">
        <v>909795.19299999997</v>
      </c>
      <c r="AV63" s="188">
        <f>Z63*Summary!$E$127+Trends!AK63*Summary!$E$128</f>
        <v>44225356.106490001</v>
      </c>
      <c r="AW63" s="186">
        <f>AA63*Summary!$E$127+Trends!AL63*Summary!$E$128</f>
        <v>43692368.089999996</v>
      </c>
      <c r="AX63" s="186">
        <f>AB63*Summary!$E$127+Trends!AM63*Summary!$E$128</f>
        <v>43801250.646640003</v>
      </c>
      <c r="AY63" s="186">
        <f>AC63*Summary!$E$127+Trends!AN63*Summary!$E$128</f>
        <v>45373655.710000001</v>
      </c>
      <c r="AZ63" s="186">
        <f>AD63*Summary!$E$127+Trends!AO63*Summary!$E$128</f>
        <v>44908519.169999994</v>
      </c>
      <c r="BA63" s="186">
        <f>AE63*Summary!$E$127+Trends!AP63*Summary!$E$128</f>
        <v>44995188.939999998</v>
      </c>
      <c r="BB63" s="186">
        <f>AF63*Summary!$E$127+Trends!AQ63*Summary!$E$128</f>
        <v>46066316.760000005</v>
      </c>
      <c r="BC63" s="186">
        <f>AG63*Summary!$E$127+Trends!AR63*Summary!$E$128</f>
        <v>45095063.396813571</v>
      </c>
      <c r="BD63" s="186">
        <f>AH63*Summary!$E$127+Trends!AS63*Summary!$E$128</f>
        <v>46687816.037359171</v>
      </c>
      <c r="BE63" s="186">
        <f>AI63*Summary!$E$127+Trends!AT63*Summary!$E$128</f>
        <v>45369678.306332767</v>
      </c>
      <c r="BF63" s="186">
        <f>AJ63*Summary!$E$127+Trends!AU63*Summary!$E$128</f>
        <v>39287012.801404119</v>
      </c>
      <c r="BG63" s="188"/>
      <c r="BH63" s="186">
        <f t="shared" si="4"/>
        <v>19164465.962444328</v>
      </c>
      <c r="BI63" s="186">
        <f t="shared" si="5"/>
        <v>23261604.907088839</v>
      </c>
      <c r="BJ63" s="186">
        <f t="shared" si="6"/>
        <v>24127187.204131123</v>
      </c>
      <c r="BK63" s="186">
        <f t="shared" si="7"/>
        <v>23976206.123852644</v>
      </c>
      <c r="BL63" s="186">
        <f t="shared" si="8"/>
        <v>23918860.543781847</v>
      </c>
      <c r="BM63" s="186">
        <f t="shared" si="9"/>
        <v>24840220.369244479</v>
      </c>
      <c r="BN63" s="186">
        <f t="shared" si="10"/>
        <v>24377120.478383325</v>
      </c>
      <c r="BO63" s="186">
        <f t="shared" si="11"/>
        <v>25162876.98785584</v>
      </c>
      <c r="BP63" s="186">
        <f t="shared" si="12"/>
        <v>24363719.746186826</v>
      </c>
      <c r="BQ63" s="189">
        <f t="shared" si="13"/>
        <v>20609638.486448415</v>
      </c>
      <c r="BR63" s="185"/>
    </row>
    <row r="64" spans="3:72" s="109" customFormat="1" hidden="1">
      <c r="C64" s="180" t="s">
        <v>75</v>
      </c>
      <c r="D64" s="181">
        <v>56631.674461405004</v>
      </c>
      <c r="E64" s="190">
        <v>56684.718000000001</v>
      </c>
      <c r="F64" s="190">
        <v>56988.318029556001</v>
      </c>
      <c r="G64" s="190">
        <v>56974.045129999999</v>
      </c>
      <c r="H64" s="190">
        <v>57394.871654514995</v>
      </c>
      <c r="I64" s="190">
        <v>57394.871660000004</v>
      </c>
      <c r="J64" s="190">
        <v>59028.801700000004</v>
      </c>
      <c r="K64" s="190">
        <v>59970.853919999994</v>
      </c>
      <c r="L64" s="190">
        <v>60438.31409</v>
      </c>
      <c r="M64" s="190">
        <v>60730.981090000001</v>
      </c>
      <c r="N64" s="190">
        <v>51619.441140000003</v>
      </c>
      <c r="O64" s="183"/>
      <c r="P64" s="190">
        <v>24724.62</v>
      </c>
      <c r="Q64" s="190">
        <v>28189.241181167999</v>
      </c>
      <c r="R64" s="190">
        <v>28018.761599999998</v>
      </c>
      <c r="S64" s="190">
        <v>28328.470119595</v>
      </c>
      <c r="T64" s="190">
        <v>28328.470119999998</v>
      </c>
      <c r="U64" s="190">
        <v>28826.615989999998</v>
      </c>
      <c r="V64" s="190">
        <v>29363.414669999998</v>
      </c>
      <c r="W64" s="190">
        <v>29508.569989999996</v>
      </c>
      <c r="X64" s="190">
        <v>29508.7281</v>
      </c>
      <c r="Y64" s="190">
        <v>24861.098389999999</v>
      </c>
      <c r="Z64" s="184">
        <v>2452821</v>
      </c>
      <c r="AA64" s="185">
        <v>2360340</v>
      </c>
      <c r="AB64" s="185">
        <v>2429561</v>
      </c>
      <c r="AC64" s="185">
        <v>2389435</v>
      </c>
      <c r="AD64" s="185">
        <v>2435485</v>
      </c>
      <c r="AE64" s="185">
        <v>2388848</v>
      </c>
      <c r="AF64" s="185">
        <v>2456967</v>
      </c>
      <c r="AG64" s="185">
        <v>2455879.8573859329</v>
      </c>
      <c r="AH64" s="185">
        <v>2508610.5330249732</v>
      </c>
      <c r="AI64" s="186">
        <v>2411150.8098295513</v>
      </c>
      <c r="AJ64" s="185">
        <v>2069451.3927841894</v>
      </c>
      <c r="AK64" s="184">
        <v>632501.37100000004</v>
      </c>
      <c r="AL64" s="185">
        <v>657755</v>
      </c>
      <c r="AM64" s="185">
        <v>690567.49799999991</v>
      </c>
      <c r="AN64" s="185">
        <v>662062</v>
      </c>
      <c r="AO64" s="187">
        <v>673560</v>
      </c>
      <c r="AP64" s="187">
        <v>667656</v>
      </c>
      <c r="AQ64" s="185">
        <v>799162</v>
      </c>
      <c r="AR64" s="185">
        <v>811188</v>
      </c>
      <c r="AS64" s="185">
        <v>848393.69400000002</v>
      </c>
      <c r="AT64" s="186">
        <v>874736.17099999997</v>
      </c>
      <c r="AU64" s="185">
        <v>720079.022</v>
      </c>
      <c r="AV64" s="188">
        <f>Z64*Summary!$E$127+Trends!AK64*Summary!$E$128</f>
        <v>26313039.070489999</v>
      </c>
      <c r="AW64" s="186">
        <f>AA64*Summary!$E$127+Trends!AL64*Summary!$E$128</f>
        <v>25821277.449999999</v>
      </c>
      <c r="AX64" s="186">
        <f>AB64*Summary!$E$127+Trends!AM64*Summary!$E$128</f>
        <v>26716326.904619996</v>
      </c>
      <c r="AY64" s="186">
        <f>AC64*Summary!$E$127+Trends!AN64*Summary!$E$128</f>
        <v>26100835.280000001</v>
      </c>
      <c r="AZ64" s="186">
        <f>AD64*Summary!$E$127+Trends!AO64*Summary!$E$128</f>
        <v>26591004.899999999</v>
      </c>
      <c r="BA64" s="186">
        <f>AE64*Summary!$E$127+Trends!AP64*Summary!$E$128</f>
        <v>26153083.440000001</v>
      </c>
      <c r="BB64" s="186">
        <f>AF64*Summary!$E$127+Trends!AQ64*Summary!$E$128</f>
        <v>28044893.479999997</v>
      </c>
      <c r="BC64" s="186">
        <f>AG64*Summary!$E$127+Trends!AR64*Summary!$E$128</f>
        <v>28158632.564826056</v>
      </c>
      <c r="BD64" s="186">
        <f>AH64*Summary!$E$127+Trends!AS64*Summary!$E$128</f>
        <v>28964877.059362285</v>
      </c>
      <c r="BE64" s="186">
        <f>AI64*Summary!$E$127+Trends!AT64*Summary!$E$128</f>
        <v>28443883.142109364</v>
      </c>
      <c r="BF64" s="186">
        <f>AJ64*Summary!$E$127+Trends!AU64*Summary!$E$128</f>
        <v>24100161.515731931</v>
      </c>
      <c r="BG64" s="188"/>
      <c r="BH64" s="186">
        <f t="shared" si="4"/>
        <v>11262669.999801692</v>
      </c>
      <c r="BI64" s="186">
        <f t="shared" si="5"/>
        <v>13215216.883549215</v>
      </c>
      <c r="BJ64" s="186">
        <f t="shared" si="6"/>
        <v>12835898.865922585</v>
      </c>
      <c r="BK64" s="186">
        <f t="shared" si="7"/>
        <v>13124560.889237512</v>
      </c>
      <c r="BL64" s="186">
        <f t="shared" si="8"/>
        <v>12908415.357469009</v>
      </c>
      <c r="BM64" s="186">
        <f t="shared" si="9"/>
        <v>13695676.543412104</v>
      </c>
      <c r="BN64" s="186">
        <f t="shared" si="10"/>
        <v>13787257.484179461</v>
      </c>
      <c r="BO64" s="186">
        <f t="shared" si="11"/>
        <v>14141891.858286567</v>
      </c>
      <c r="BP64" s="186">
        <f t="shared" si="12"/>
        <v>13820669.429081323</v>
      </c>
      <c r="BQ64" s="189">
        <f t="shared" si="13"/>
        <v>11607186.622429656</v>
      </c>
      <c r="BR64" s="185"/>
    </row>
    <row r="65" spans="3:70" s="109" customFormat="1" hidden="1">
      <c r="C65" s="180" t="s">
        <v>76</v>
      </c>
      <c r="D65" s="181">
        <v>39841.029778548997</v>
      </c>
      <c r="E65" s="190">
        <v>38850.722000000002</v>
      </c>
      <c r="F65" s="190">
        <v>38667.129814487998</v>
      </c>
      <c r="G65" s="182">
        <v>38757.69339</v>
      </c>
      <c r="H65" s="190">
        <v>39499.190208740001</v>
      </c>
      <c r="I65" s="190">
        <v>39890.36247</v>
      </c>
      <c r="J65" s="182">
        <v>40754.708859999999</v>
      </c>
      <c r="K65" s="182">
        <v>40877.098020000005</v>
      </c>
      <c r="L65" s="182">
        <v>40730.439489999997</v>
      </c>
      <c r="M65" s="182">
        <v>41090.910550000001</v>
      </c>
      <c r="N65" s="182">
        <v>39665.087489999998</v>
      </c>
      <c r="O65" s="183"/>
      <c r="P65" s="190">
        <v>15010.356</v>
      </c>
      <c r="Q65" s="190">
        <v>18303.559098924001</v>
      </c>
      <c r="R65" s="182">
        <v>18205.846720000001</v>
      </c>
      <c r="S65" s="190">
        <v>18751.207505885002</v>
      </c>
      <c r="T65" s="190">
        <v>19086.981059999998</v>
      </c>
      <c r="U65" s="182">
        <v>19590.031210000001</v>
      </c>
      <c r="V65" s="182">
        <v>19592.570230000001</v>
      </c>
      <c r="W65" s="182">
        <v>19924.548190000001</v>
      </c>
      <c r="X65" s="182">
        <v>20381.62096</v>
      </c>
      <c r="Y65" s="182">
        <v>19518.400300000001</v>
      </c>
      <c r="Z65" s="184">
        <v>1607584</v>
      </c>
      <c r="AA65" s="185">
        <v>1554825</v>
      </c>
      <c r="AB65" s="185">
        <v>1598659</v>
      </c>
      <c r="AC65" s="185">
        <v>1564996</v>
      </c>
      <c r="AD65" s="185">
        <v>1659065</v>
      </c>
      <c r="AE65" s="185">
        <v>1641716</v>
      </c>
      <c r="AF65" s="185">
        <v>1681282</v>
      </c>
      <c r="AG65" s="185">
        <v>1642577.9263452152</v>
      </c>
      <c r="AH65" s="185">
        <v>1626329.5977871143</v>
      </c>
      <c r="AI65" s="186">
        <v>1668607.9139948599</v>
      </c>
      <c r="AJ65" s="185">
        <v>1563456.456726959</v>
      </c>
      <c r="AK65" s="184">
        <v>563039.44900000002</v>
      </c>
      <c r="AL65" s="185">
        <v>553167</v>
      </c>
      <c r="AM65" s="185">
        <v>578538.17200000002</v>
      </c>
      <c r="AN65" s="185">
        <v>550896</v>
      </c>
      <c r="AO65" s="187">
        <v>573402</v>
      </c>
      <c r="AP65" s="187">
        <v>632987</v>
      </c>
      <c r="AQ65" s="185">
        <v>687994</v>
      </c>
      <c r="AR65" s="185">
        <v>685953</v>
      </c>
      <c r="AS65" s="185">
        <v>707874.41799999995</v>
      </c>
      <c r="AT65" s="186">
        <v>709976.74199999997</v>
      </c>
      <c r="AU65" s="185">
        <v>696751.41</v>
      </c>
      <c r="AV65" s="188">
        <f>Z65*Summary!$E$127+Trends!AK65*Summary!$E$128</f>
        <v>18758802.385309998</v>
      </c>
      <c r="AW65" s="186">
        <f>AA65*Summary!$E$127+Trends!AL65*Summary!$E$128</f>
        <v>18230854.23</v>
      </c>
      <c r="AX65" s="186">
        <f>AB65*Summary!$E$127+Trends!AM65*Summary!$E$128</f>
        <v>18844441.872679997</v>
      </c>
      <c r="AY65" s="186">
        <f>AC65*Summary!$E$127+Trends!AN65*Summary!$E$128</f>
        <v>18290097.84</v>
      </c>
      <c r="AZ65" s="186">
        <f>AD65*Summary!$E$127+Trends!AO65*Summary!$E$128</f>
        <v>19281392.879999999</v>
      </c>
      <c r="BA65" s="186">
        <f>AE65*Summary!$E$127+Trends!AP65*Summary!$E$128</f>
        <v>19748037.129999999</v>
      </c>
      <c r="BB65" s="186">
        <f>AF65*Summary!$E$127+Trends!AQ65*Summary!$E$128</f>
        <v>20629043.059999999</v>
      </c>
      <c r="BC65" s="186">
        <f>AG65*Summary!$E$127+Trends!AR65*Summary!$E$128</f>
        <v>20294742.273396242</v>
      </c>
      <c r="BD65" s="186">
        <f>AH65*Summary!$E$127+Trends!AS65*Summary!$E$128</f>
        <v>20386510.061495624</v>
      </c>
      <c r="BE65" s="186">
        <f>AI65*Summary!$E$127+Trends!AT65*Summary!$E$128</f>
        <v>20750387.104338363</v>
      </c>
      <c r="BF65" s="186">
        <f>AJ65*Summary!$E$127+Trends!AU65*Summary!$E$128</f>
        <v>19763894.167388368</v>
      </c>
      <c r="BG65" s="188"/>
      <c r="BH65" s="186">
        <f t="shared" si="4"/>
        <v>7043668.6395791015</v>
      </c>
      <c r="BI65" s="186">
        <f t="shared" si="5"/>
        <v>8920247.1752532274</v>
      </c>
      <c r="BJ65" s="186">
        <f t="shared" si="6"/>
        <v>8591499.8712167442</v>
      </c>
      <c r="BK65" s="186">
        <f t="shared" si="7"/>
        <v>9153336.9920929018</v>
      </c>
      <c r="BL65" s="186">
        <f t="shared" si="8"/>
        <v>9449159.8304217346</v>
      </c>
      <c r="BM65" s="186">
        <f t="shared" si="9"/>
        <v>9915997.6523467172</v>
      </c>
      <c r="BN65" s="186">
        <f t="shared" si="10"/>
        <v>9727357.9229307938</v>
      </c>
      <c r="BO65" s="186">
        <f t="shared" si="11"/>
        <v>9972688.9086457416</v>
      </c>
      <c r="BP65" s="186">
        <f t="shared" si="12"/>
        <v>10292459.30725418</v>
      </c>
      <c r="BQ65" s="189">
        <f t="shared" si="13"/>
        <v>9725419.0588430092</v>
      </c>
      <c r="BR65" s="185"/>
    </row>
    <row r="66" spans="3:70" s="109" customFormat="1" hidden="1">
      <c r="C66" s="180" t="s">
        <v>77</v>
      </c>
      <c r="D66" s="181">
        <v>70863.996684894999</v>
      </c>
      <c r="E66" s="190">
        <v>68789.197</v>
      </c>
      <c r="F66" s="190">
        <v>68503.684447571999</v>
      </c>
      <c r="G66" s="190">
        <v>69458.421839999995</v>
      </c>
      <c r="H66" s="190">
        <v>70909.036567264993</v>
      </c>
      <c r="I66" s="190">
        <v>71917.518589999992</v>
      </c>
      <c r="J66" s="190">
        <v>74018.57647</v>
      </c>
      <c r="K66" s="190">
        <v>75911.31624</v>
      </c>
      <c r="L66" s="190">
        <v>76594.999289999992</v>
      </c>
      <c r="M66" s="190">
        <v>79168.249890000006</v>
      </c>
      <c r="N66" s="190">
        <v>72797.036989999993</v>
      </c>
      <c r="O66" s="183"/>
      <c r="P66" s="190">
        <v>32602.346000000001</v>
      </c>
      <c r="Q66" s="190">
        <v>38398.504981175996</v>
      </c>
      <c r="R66" s="190">
        <v>38474.689169999998</v>
      </c>
      <c r="S66" s="190">
        <v>38981.498588549999</v>
      </c>
      <c r="T66" s="190">
        <v>39555.72451</v>
      </c>
      <c r="U66" s="190">
        <v>40489.68318</v>
      </c>
      <c r="V66" s="190">
        <v>41001.179819999998</v>
      </c>
      <c r="W66" s="190">
        <v>40714.081469999997</v>
      </c>
      <c r="X66" s="190">
        <v>41151.728109999996</v>
      </c>
      <c r="Y66" s="190">
        <v>36532.155180000002</v>
      </c>
      <c r="Z66" s="184">
        <v>3140943</v>
      </c>
      <c r="AA66" s="185">
        <v>3047982</v>
      </c>
      <c r="AB66" s="185">
        <v>3011447</v>
      </c>
      <c r="AC66" s="185">
        <v>2993312</v>
      </c>
      <c r="AD66" s="185">
        <v>3076499</v>
      </c>
      <c r="AE66" s="185">
        <v>2985617</v>
      </c>
      <c r="AF66" s="185">
        <v>3069337</v>
      </c>
      <c r="AG66" s="185">
        <v>3035825.6605998841</v>
      </c>
      <c r="AH66" s="185">
        <v>3057111.4131388506</v>
      </c>
      <c r="AI66" s="186">
        <v>2993791.5239167875</v>
      </c>
      <c r="AJ66" s="185">
        <v>2760594.1127024191</v>
      </c>
      <c r="AK66" s="184">
        <v>985786.10300000012</v>
      </c>
      <c r="AL66" s="185">
        <v>980843</v>
      </c>
      <c r="AM66" s="185">
        <v>968275.46299999999</v>
      </c>
      <c r="AN66" s="185">
        <v>959962</v>
      </c>
      <c r="AO66" s="187">
        <v>1003190</v>
      </c>
      <c r="AP66" s="187">
        <v>1022026</v>
      </c>
      <c r="AQ66" s="185">
        <v>1043171</v>
      </c>
      <c r="AR66" s="185">
        <v>1051422</v>
      </c>
      <c r="AS66" s="185">
        <v>1066093.094</v>
      </c>
      <c r="AT66" s="186">
        <v>1100304.3910000001</v>
      </c>
      <c r="AU66" s="185">
        <v>1054725.524</v>
      </c>
      <c r="AV66" s="188">
        <f>Z66*Summary!$E$127+Trends!AK66*Summary!$E$128</f>
        <v>35486798.689570002</v>
      </c>
      <c r="AW66" s="186">
        <f>AA66*Summary!$E$127+Trends!AL66*Summary!$E$128</f>
        <v>34683444.369999997</v>
      </c>
      <c r="AX66" s="186">
        <f>AB66*Summary!$E$127+Trends!AM66*Summary!$E$128</f>
        <v>34259447.667970002</v>
      </c>
      <c r="AY66" s="186">
        <f>AC66*Summary!$E$127+Trends!AN66*Summary!$E$128</f>
        <v>34027839.979999997</v>
      </c>
      <c r="AZ66" s="186">
        <f>AD66*Summary!$E$127+Trends!AO66*Summary!$E$128</f>
        <v>35142148</v>
      </c>
      <c r="BA66" s="186">
        <f>AE66*Summary!$E$127+Trends!AP66*Summary!$E$128</f>
        <v>34597942.640000001</v>
      </c>
      <c r="BB66" s="186">
        <f>AF66*Summary!$E$127+Trends!AQ66*Summary!$E$128</f>
        <v>35491542.189999998</v>
      </c>
      <c r="BC66" s="186">
        <f>AG66*Summary!$E$127+Trends!AR66*Summary!$E$128</f>
        <v>35304178.030859061</v>
      </c>
      <c r="BD66" s="186">
        <f>AH66*Summary!$E$127+Trends!AS66*Summary!$E$128</f>
        <v>35626091.074284688</v>
      </c>
      <c r="BE66" s="186">
        <f>AI66*Summary!$E$127+Trends!AT66*Summary!$E$128</f>
        <v>35461813.088015974</v>
      </c>
      <c r="BF66" s="186">
        <f>AJ66*Summary!$E$127+Trends!AU66*Summary!$E$128</f>
        <v>33108465.402449593</v>
      </c>
      <c r="BG66" s="188"/>
      <c r="BH66" s="186">
        <f t="shared" si="4"/>
        <v>16438070.265924051</v>
      </c>
      <c r="BI66" s="186">
        <f t="shared" si="5"/>
        <v>19203515.585175369</v>
      </c>
      <c r="BJ66" s="186">
        <f t="shared" si="6"/>
        <v>18848838.365098663</v>
      </c>
      <c r="BK66" s="186">
        <f t="shared" si="7"/>
        <v>19319027.009499997</v>
      </c>
      <c r="BL66" s="186">
        <f t="shared" si="8"/>
        <v>19029392.483390216</v>
      </c>
      <c r="BM66" s="186">
        <f t="shared" si="9"/>
        <v>19414603.297932126</v>
      </c>
      <c r="BN66" s="186">
        <f t="shared" si="10"/>
        <v>19068473.892141614</v>
      </c>
      <c r="BO66" s="186">
        <f t="shared" si="11"/>
        <v>18937053.174507137</v>
      </c>
      <c r="BP66" s="186">
        <f t="shared" si="12"/>
        <v>18433082.612200111</v>
      </c>
      <c r="BQ66" s="189">
        <f t="shared" si="13"/>
        <v>16615011.350257291</v>
      </c>
      <c r="BR66" s="185"/>
    </row>
    <row r="67" spans="3:70" s="109" customFormat="1" hidden="1">
      <c r="C67" s="180" t="s">
        <v>78</v>
      </c>
      <c r="D67" s="181">
        <v>11189.805953015002</v>
      </c>
      <c r="E67" s="190">
        <v>11659.598</v>
      </c>
      <c r="F67" s="190">
        <v>11885.123745834</v>
      </c>
      <c r="G67" s="190">
        <v>12032.727220000001</v>
      </c>
      <c r="H67" s="190">
        <v>12157.12894608</v>
      </c>
      <c r="I67" s="190">
        <v>12345.071260000001</v>
      </c>
      <c r="J67" s="190">
        <v>12598.722870000001</v>
      </c>
      <c r="K67" s="190">
        <v>12644.672350000001</v>
      </c>
      <c r="L67" s="190">
        <v>12699.635999999999</v>
      </c>
      <c r="M67" s="190">
        <v>12891.947529999999</v>
      </c>
      <c r="N67" s="190">
        <v>12104.091340000001</v>
      </c>
      <c r="O67" s="183"/>
      <c r="P67" s="190">
        <v>5516.76</v>
      </c>
      <c r="Q67" s="190">
        <v>6317.5813223639998</v>
      </c>
      <c r="R67" s="190">
        <v>6402.1014800000003</v>
      </c>
      <c r="S67" s="190">
        <v>6486.4571615149998</v>
      </c>
      <c r="T67" s="190">
        <v>6538.8274000000001</v>
      </c>
      <c r="U67" s="190">
        <v>6811.99694</v>
      </c>
      <c r="V67" s="190">
        <v>6904.3181500000001</v>
      </c>
      <c r="W67" s="190">
        <v>6966.2438499999998</v>
      </c>
      <c r="X67" s="190">
        <v>7008.6697399999994</v>
      </c>
      <c r="Y67" s="190">
        <v>6526.0133100000003</v>
      </c>
      <c r="Z67" s="184">
        <v>480645</v>
      </c>
      <c r="AA67" s="185">
        <v>477530</v>
      </c>
      <c r="AB67" s="185">
        <v>487822</v>
      </c>
      <c r="AC67" s="185">
        <v>492003</v>
      </c>
      <c r="AD67" s="185">
        <v>500594</v>
      </c>
      <c r="AE67" s="185">
        <v>483132</v>
      </c>
      <c r="AF67" s="185">
        <v>491288</v>
      </c>
      <c r="AG67" s="185">
        <v>490881.57627492386</v>
      </c>
      <c r="AH67" s="185">
        <v>480587.02115483029</v>
      </c>
      <c r="AI67" s="186">
        <v>485015.04793975275</v>
      </c>
      <c r="AJ67" s="185">
        <v>452600.56162169331</v>
      </c>
      <c r="AK67" s="184">
        <v>245822.76699999999</v>
      </c>
      <c r="AL67" s="185">
        <v>254254</v>
      </c>
      <c r="AM67" s="185">
        <v>262302.99600000004</v>
      </c>
      <c r="AN67" s="185">
        <v>264682</v>
      </c>
      <c r="AO67" s="187">
        <v>270918</v>
      </c>
      <c r="AP67" s="187">
        <v>268546</v>
      </c>
      <c r="AQ67" s="185">
        <v>265741</v>
      </c>
      <c r="AR67" s="185">
        <v>270340</v>
      </c>
      <c r="AS67" s="185">
        <v>272326.913</v>
      </c>
      <c r="AT67" s="186">
        <v>278800.86099999998</v>
      </c>
      <c r="AU67" s="185">
        <v>287264.32400000002</v>
      </c>
      <c r="AV67" s="188">
        <f>Z67*Summary!$E$127+Trends!AK67*Summary!$E$128</f>
        <v>6398158.4957299996</v>
      </c>
      <c r="AW67" s="186">
        <f>AA67*Summary!$E$127+Trends!AL67*Summary!$E$128</f>
        <v>6458841.2599999998</v>
      </c>
      <c r="AX67" s="186">
        <f>AB67*Summary!$E$127+Trends!AM67*Summary!$E$128</f>
        <v>6624225.7292400002</v>
      </c>
      <c r="AY67" s="186">
        <f>AC67*Summary!$E$127+Trends!AN67*Summary!$E$128</f>
        <v>6682333.8799999999</v>
      </c>
      <c r="AZ67" s="186">
        <f>AD67*Summary!$E$127+Trends!AO67*Summary!$E$128</f>
        <v>6815465.8200000003</v>
      </c>
      <c r="BA67" s="186">
        <f>AE67*Summary!$E$127+Trends!AP67*Summary!$E$128</f>
        <v>6649852.9399999995</v>
      </c>
      <c r="BB67" s="186">
        <f>AF67*Summary!$E$127+Trends!AQ67*Summary!$E$128</f>
        <v>6687333.5899999999</v>
      </c>
      <c r="BC67" s="186">
        <f>AG67*Summary!$E$127+Trends!AR67*Summary!$E$128</f>
        <v>6730905.3678268827</v>
      </c>
      <c r="BD67" s="186">
        <f>AH67*Summary!$E$127+Trends!AS67*Summary!$E$128</f>
        <v>6667766.1148241246</v>
      </c>
      <c r="BE67" s="186">
        <f>AI67*Summary!$E$127+Trends!AT67*Summary!$E$128</f>
        <v>6769602.6619019965</v>
      </c>
      <c r="BF67" s="186">
        <f>AJ67*Summary!$E$127+Trends!AU67*Summary!$E$128</f>
        <v>6593288.0106957164</v>
      </c>
      <c r="BG67" s="188"/>
      <c r="BH67" s="186">
        <f t="shared" si="4"/>
        <v>3056012.4894115217</v>
      </c>
      <c r="BI67" s="186">
        <f t="shared" si="5"/>
        <v>3521131.595860641</v>
      </c>
      <c r="BJ67" s="186">
        <f t="shared" si="6"/>
        <v>3555385.145928883</v>
      </c>
      <c r="BK67" s="186">
        <f t="shared" si="7"/>
        <v>3636403.5680854074</v>
      </c>
      <c r="BL67" s="186">
        <f t="shared" si="8"/>
        <v>3522234.8817808731</v>
      </c>
      <c r="BM67" s="186">
        <f t="shared" si="9"/>
        <v>3615770.9334421773</v>
      </c>
      <c r="BN67" s="186">
        <f t="shared" si="10"/>
        <v>3675248.4216816868</v>
      </c>
      <c r="BO67" s="186">
        <f t="shared" si="11"/>
        <v>3657528.821348262</v>
      </c>
      <c r="BP67" s="186">
        <f t="shared" si="12"/>
        <v>3680274.777560778</v>
      </c>
      <c r="BQ67" s="189">
        <f t="shared" si="13"/>
        <v>3554821.5975759206</v>
      </c>
      <c r="BR67" s="185"/>
    </row>
    <row r="68" spans="3:70" s="109" customFormat="1" hidden="1">
      <c r="C68" s="180" t="s">
        <v>79</v>
      </c>
      <c r="D68" s="181">
        <v>19437.951655549998</v>
      </c>
      <c r="E68" s="190">
        <v>19093.319</v>
      </c>
      <c r="F68" s="190">
        <v>19276.550848788</v>
      </c>
      <c r="G68" s="190">
        <v>19321.561410000002</v>
      </c>
      <c r="H68" s="190">
        <v>19612.581566430003</v>
      </c>
      <c r="I68" s="190">
        <v>20100.958610000001</v>
      </c>
      <c r="J68" s="190">
        <v>20699.916000000001</v>
      </c>
      <c r="K68" s="190">
        <v>21002.014790000001</v>
      </c>
      <c r="L68" s="190">
        <v>20974.735100000002</v>
      </c>
      <c r="M68" s="190">
        <v>21241.792149999997</v>
      </c>
      <c r="N68" s="190">
        <v>19431.864720000001</v>
      </c>
      <c r="O68" s="183"/>
      <c r="P68" s="190">
        <v>8932.1460000000006</v>
      </c>
      <c r="Q68" s="190">
        <v>10453.94701416</v>
      </c>
      <c r="R68" s="190">
        <v>10464.56753</v>
      </c>
      <c r="S68" s="190">
        <v>10719.26118025</v>
      </c>
      <c r="T68" s="190">
        <v>11007.937320000001</v>
      </c>
      <c r="U68" s="190">
        <v>11117.023800000001</v>
      </c>
      <c r="V68" s="190">
        <v>11203.43008</v>
      </c>
      <c r="W68" s="190">
        <v>11381.27331</v>
      </c>
      <c r="X68" s="190">
        <v>11422.897509999999</v>
      </c>
      <c r="Y68" s="190">
        <v>10277.980799999999</v>
      </c>
      <c r="Z68" s="184">
        <v>819892</v>
      </c>
      <c r="AA68" s="185">
        <v>797328</v>
      </c>
      <c r="AB68" s="185">
        <v>806781</v>
      </c>
      <c r="AC68" s="185">
        <v>820593</v>
      </c>
      <c r="AD68" s="185">
        <v>859740</v>
      </c>
      <c r="AE68" s="185">
        <v>822527</v>
      </c>
      <c r="AF68" s="185">
        <v>849515</v>
      </c>
      <c r="AG68" s="185">
        <v>849853.53451177571</v>
      </c>
      <c r="AH68" s="185">
        <v>863402.50428235775</v>
      </c>
      <c r="AI68" s="186">
        <v>863332.56747889146</v>
      </c>
      <c r="AJ68" s="185">
        <v>789409.66851955443</v>
      </c>
      <c r="AK68" s="184">
        <v>426249.11100000003</v>
      </c>
      <c r="AL68" s="185">
        <v>424670</v>
      </c>
      <c r="AM68" s="185">
        <v>420809.41700000002</v>
      </c>
      <c r="AN68" s="185">
        <v>429748</v>
      </c>
      <c r="AO68" s="187">
        <v>442447</v>
      </c>
      <c r="AP68" s="187">
        <v>444076</v>
      </c>
      <c r="AQ68" s="185">
        <v>467201</v>
      </c>
      <c r="AR68" s="185">
        <v>466125</v>
      </c>
      <c r="AS68" s="185">
        <v>468168.522</v>
      </c>
      <c r="AT68" s="186">
        <v>488470.68</v>
      </c>
      <c r="AU68" s="185">
        <v>482015.68199999997</v>
      </c>
      <c r="AV68" s="188">
        <f>Z68*Summary!$E$127+Trends!AK68*Summary!$E$128</f>
        <v>10984603.641089998</v>
      </c>
      <c r="AW68" s="186">
        <f>AA68*Summary!$E$127+Trends!AL68*Summary!$E$128</f>
        <v>10785744.1</v>
      </c>
      <c r="AX68" s="186">
        <f>AB68*Summary!$E$127+Trends!AM68*Summary!$E$128</f>
        <v>10822974.05923</v>
      </c>
      <c r="AY68" s="186">
        <f>AC68*Summary!$E$127+Trends!AN68*Summary!$E$128</f>
        <v>11025935.42</v>
      </c>
      <c r="AZ68" s="186">
        <f>AD68*Summary!$E$127+Trends!AO68*Summary!$E$128</f>
        <v>11472428.93</v>
      </c>
      <c r="BA68" s="186">
        <f>AE68*Summary!$E$127+Trends!AP68*Summary!$E$128</f>
        <v>11187603.139999999</v>
      </c>
      <c r="BB68" s="186">
        <f>AF68*Summary!$E$127+Trends!AQ68*Summary!$E$128</f>
        <v>11641849.689999999</v>
      </c>
      <c r="BC68" s="186">
        <f>AG68*Summary!$E$127+Trends!AR68*Summary!$E$128</f>
        <v>11633627.379545383</v>
      </c>
      <c r="BD68" s="186">
        <f>AH68*Summary!$E$127+Trends!AS68*Summary!$E$128</f>
        <v>11764197.523867097</v>
      </c>
      <c r="BE68" s="186">
        <f>AI68*Summary!$E$127+Trends!AT68*Summary!$E$128</f>
        <v>11970510.02577902</v>
      </c>
      <c r="BF68" s="186">
        <f>AJ68*Summary!$E$127+Trends!AU68*Summary!$E$128</f>
        <v>11305958.114588391</v>
      </c>
      <c r="BG68" s="188"/>
      <c r="BH68" s="186">
        <f t="shared" si="4"/>
        <v>5045735.6848140759</v>
      </c>
      <c r="BI68" s="186">
        <f t="shared" si="5"/>
        <v>5869452.3848353485</v>
      </c>
      <c r="BJ68" s="186">
        <f t="shared" si="6"/>
        <v>5971652.2560279407</v>
      </c>
      <c r="BK68" s="186">
        <f t="shared" si="7"/>
        <v>6270258.7956609754</v>
      </c>
      <c r="BL68" s="186">
        <f t="shared" si="8"/>
        <v>6126694.5778838741</v>
      </c>
      <c r="BM68" s="186">
        <f t="shared" si="9"/>
        <v>6252330.6896391567</v>
      </c>
      <c r="BN68" s="186">
        <f t="shared" si="10"/>
        <v>6205906.0631444454</v>
      </c>
      <c r="BO68" s="186">
        <f t="shared" si="11"/>
        <v>6383467.8556658709</v>
      </c>
      <c r="BP68" s="186">
        <f t="shared" si="12"/>
        <v>6437211.5215759324</v>
      </c>
      <c r="BQ68" s="189">
        <f t="shared" si="13"/>
        <v>5979993.2791701565</v>
      </c>
      <c r="BR68" s="185"/>
    </row>
    <row r="69" spans="3:70" s="109" customFormat="1" hidden="1">
      <c r="C69" s="180" t="s">
        <v>80</v>
      </c>
      <c r="D69" s="181">
        <v>22201.419492949997</v>
      </c>
      <c r="E69" s="190">
        <v>24189.315999999999</v>
      </c>
      <c r="F69" s="190">
        <v>24148.288436729999</v>
      </c>
      <c r="G69" s="182">
        <v>24649.416679999998</v>
      </c>
      <c r="H69" s="190">
        <v>25301.901258299997</v>
      </c>
      <c r="I69" s="190">
        <v>25925.44211</v>
      </c>
      <c r="J69" s="182">
        <v>26787.988359999999</v>
      </c>
      <c r="K69" s="182">
        <v>27587.009709999998</v>
      </c>
      <c r="L69" s="182">
        <v>28319.012179999998</v>
      </c>
      <c r="M69" s="182">
        <v>28793.737440000001</v>
      </c>
      <c r="N69" s="182">
        <v>25231.34636</v>
      </c>
      <c r="O69" s="183"/>
      <c r="P69" s="190">
        <v>9021.0300000000007</v>
      </c>
      <c r="Q69" s="190">
        <v>11492.871144479999</v>
      </c>
      <c r="R69" s="182">
        <v>11666.173009999999</v>
      </c>
      <c r="S69" s="190">
        <v>12015.147526000001</v>
      </c>
      <c r="T69" s="190">
        <v>12611.921920000001</v>
      </c>
      <c r="U69" s="182">
        <v>13091.926230000001</v>
      </c>
      <c r="V69" s="182">
        <v>13616.720090000001</v>
      </c>
      <c r="W69" s="182">
        <v>13989.700069999999</v>
      </c>
      <c r="X69" s="182">
        <v>14052.905869999999</v>
      </c>
      <c r="Y69" s="182">
        <v>12484.049360000001</v>
      </c>
      <c r="Z69" s="184">
        <v>1072826</v>
      </c>
      <c r="AA69" s="185">
        <v>1062129</v>
      </c>
      <c r="AB69" s="185">
        <v>1064148</v>
      </c>
      <c r="AC69" s="185">
        <v>1075716</v>
      </c>
      <c r="AD69" s="185">
        <v>1087946</v>
      </c>
      <c r="AE69" s="185">
        <v>1068058</v>
      </c>
      <c r="AF69" s="185">
        <v>1100905</v>
      </c>
      <c r="AG69" s="185">
        <v>1131522.9339148535</v>
      </c>
      <c r="AH69" s="185">
        <v>1161263.2063156364</v>
      </c>
      <c r="AI69" s="186">
        <v>1157366.3264907189</v>
      </c>
      <c r="AJ69" s="185">
        <v>984968.51915408368</v>
      </c>
      <c r="AK69" s="184">
        <v>308845.90800000005</v>
      </c>
      <c r="AL69" s="185">
        <v>297765</v>
      </c>
      <c r="AM69" s="185">
        <v>299954.14900000003</v>
      </c>
      <c r="AN69" s="185">
        <v>317521</v>
      </c>
      <c r="AO69" s="187">
        <v>301283</v>
      </c>
      <c r="AP69" s="187">
        <v>310562</v>
      </c>
      <c r="AQ69" s="185">
        <v>337601</v>
      </c>
      <c r="AR69" s="185">
        <v>375201</v>
      </c>
      <c r="AS69" s="185">
        <v>363822.04100000003</v>
      </c>
      <c r="AT69" s="186">
        <v>386789.158</v>
      </c>
      <c r="AU69" s="185">
        <v>388977.14799999999</v>
      </c>
      <c r="AV69" s="188">
        <f>Z69*Summary!$E$127+Trends!AK69*Summary!$E$128</f>
        <v>11837030.402520001</v>
      </c>
      <c r="AW69" s="186">
        <f>AA69*Summary!$E$127+Trends!AL69*Summary!$E$128</f>
        <v>11637470.25</v>
      </c>
      <c r="AX69" s="186">
        <f>AB69*Summary!$E$127+Trends!AM69*Summary!$E$128</f>
        <v>11676131.578309998</v>
      </c>
      <c r="AY69" s="186">
        <f>AC69*Summary!$E$127+Trends!AN69*Summary!$E$128</f>
        <v>11948838.59</v>
      </c>
      <c r="AZ69" s="186">
        <f>AD69*Summary!$E$127+Trends!AO69*Summary!$E$128</f>
        <v>11882436.369999999</v>
      </c>
      <c r="BA69" s="186">
        <f>AE69*Summary!$E$127+Trends!AP69*Summary!$E$128</f>
        <v>11815896.579999998</v>
      </c>
      <c r="BB69" s="186">
        <f>AF69*Summary!$E$127+Trends!AQ69*Summary!$E$128</f>
        <v>12357484.689999999</v>
      </c>
      <c r="BC69" s="186">
        <f>AG69*Summary!$E$127+Trends!AR69*Summary!$E$128</f>
        <v>12988633.954710312</v>
      </c>
      <c r="BD69" s="186">
        <f>AH69*Summary!$E$127+Trends!AS69*Summary!$E$128</f>
        <v>13113578.568946656</v>
      </c>
      <c r="BE69" s="186">
        <f>AI69*Summary!$E$127+Trends!AT69*Summary!$E$128</f>
        <v>13316048.764594823</v>
      </c>
      <c r="BF69" s="186">
        <f>AJ69*Summary!$E$127+Trends!AU69*Summary!$E$128</f>
        <v>11941922.143268077</v>
      </c>
      <c r="BG69" s="188"/>
      <c r="BH69" s="186">
        <f t="shared" si="4"/>
        <v>4340013.923889271</v>
      </c>
      <c r="BI69" s="186">
        <f t="shared" si="5"/>
        <v>5557009.8082562955</v>
      </c>
      <c r="BJ69" s="186">
        <f t="shared" si="6"/>
        <v>5655193.3893270707</v>
      </c>
      <c r="BK69" s="186">
        <f t="shared" si="7"/>
        <v>5642628.3739062538</v>
      </c>
      <c r="BL69" s="186">
        <f t="shared" si="8"/>
        <v>5748066.4919605879</v>
      </c>
      <c r="BM69" s="186">
        <f t="shared" si="9"/>
        <v>6039396.3061224213</v>
      </c>
      <c r="BN69" s="186">
        <f t="shared" si="10"/>
        <v>6411082.4178471677</v>
      </c>
      <c r="BO69" s="186">
        <f t="shared" si="11"/>
        <v>6478157.8487934228</v>
      </c>
      <c r="BP69" s="186">
        <f t="shared" si="12"/>
        <v>6498954.1645685304</v>
      </c>
      <c r="BQ69" s="189">
        <f t="shared" si="13"/>
        <v>5908663.9041261077</v>
      </c>
      <c r="BR69" s="185"/>
    </row>
    <row r="70" spans="3:70" s="109" customFormat="1" hidden="1">
      <c r="C70" s="180" t="s">
        <v>81</v>
      </c>
      <c r="D70" s="181">
        <v>13065.220251605002</v>
      </c>
      <c r="E70" s="190">
        <v>12719.53</v>
      </c>
      <c r="F70" s="190">
        <v>12893.651742684</v>
      </c>
      <c r="G70" s="190">
        <v>12902.814760000001</v>
      </c>
      <c r="H70" s="190">
        <v>12970.408519920002</v>
      </c>
      <c r="I70" s="190">
        <v>13093.741770000001</v>
      </c>
      <c r="J70" s="190">
        <v>13512.59655</v>
      </c>
      <c r="K70" s="190">
        <v>13681.376620000001</v>
      </c>
      <c r="L70" s="190">
        <v>13776.47306</v>
      </c>
      <c r="M70" s="190">
        <v>13828.121490000001</v>
      </c>
      <c r="N70" s="190">
        <v>11956.25576</v>
      </c>
      <c r="O70" s="183"/>
      <c r="P70" s="190">
        <v>5902.9309999999996</v>
      </c>
      <c r="Q70" s="190">
        <v>6711.1842353339998</v>
      </c>
      <c r="R70" s="190">
        <v>6897.7095499999996</v>
      </c>
      <c r="S70" s="190">
        <v>6980.8367043800008</v>
      </c>
      <c r="T70" s="190">
        <v>7062.1431200000006</v>
      </c>
      <c r="U70" s="190">
        <v>7241.0983099999994</v>
      </c>
      <c r="V70" s="190">
        <v>7371.5382900000004</v>
      </c>
      <c r="W70" s="190">
        <v>7393.0952400000006</v>
      </c>
      <c r="X70" s="190">
        <v>7437.4317599999995</v>
      </c>
      <c r="Y70" s="190">
        <v>6392.4026199999998</v>
      </c>
      <c r="Z70" s="184">
        <v>698888</v>
      </c>
      <c r="AA70" s="185">
        <v>685817</v>
      </c>
      <c r="AB70" s="185">
        <v>681830</v>
      </c>
      <c r="AC70" s="185">
        <v>684861</v>
      </c>
      <c r="AD70" s="185">
        <v>691016</v>
      </c>
      <c r="AE70" s="185">
        <v>656859</v>
      </c>
      <c r="AF70" s="185">
        <v>660553</v>
      </c>
      <c r="AG70" s="185">
        <v>665419.34325965098</v>
      </c>
      <c r="AH70" s="185">
        <v>678144.09314554324</v>
      </c>
      <c r="AI70" s="186">
        <v>677217.39934685105</v>
      </c>
      <c r="AJ70" s="185">
        <v>568810.55330648134</v>
      </c>
      <c r="AK70" s="184">
        <v>94210.08</v>
      </c>
      <c r="AL70" s="185">
        <v>92714</v>
      </c>
      <c r="AM70" s="185">
        <v>92156.991000000009</v>
      </c>
      <c r="AN70" s="185">
        <v>92287</v>
      </c>
      <c r="AO70" s="187">
        <v>97516</v>
      </c>
      <c r="AP70" s="187">
        <v>101522</v>
      </c>
      <c r="AQ70" s="185">
        <v>98355</v>
      </c>
      <c r="AR70" s="185">
        <v>102043</v>
      </c>
      <c r="AS70" s="185">
        <v>104818.80499999999</v>
      </c>
      <c r="AT70" s="186">
        <v>102743.56600000001</v>
      </c>
      <c r="AU70" s="185">
        <v>104561.996</v>
      </c>
      <c r="AV70" s="188">
        <f>Z70*Summary!$E$127+Trends!AK70*Summary!$E$128</f>
        <v>6620993.5152000003</v>
      </c>
      <c r="AW70" s="186">
        <f>AA70*Summary!$E$127+Trends!AL70*Summary!$E$128</f>
        <v>6499873.3600000003</v>
      </c>
      <c r="AX70" s="186">
        <f>AB70*Summary!$E$127+Trends!AM70*Summary!$E$128</f>
        <v>6461902.7382899998</v>
      </c>
      <c r="AY70" s="186">
        <f>AC70*Summary!$E$127+Trends!AN70*Summary!$E$128</f>
        <v>6487778.6299999999</v>
      </c>
      <c r="AZ70" s="186">
        <f>AD70*Summary!$E$127+Trends!AO70*Summary!$E$128</f>
        <v>6590917.6399999997</v>
      </c>
      <c r="BA70" s="186">
        <f>AE70*Summary!$E$127+Trends!AP70*Summary!$E$128</f>
        <v>6355067.0799999991</v>
      </c>
      <c r="BB70" s="186">
        <f>AF70*Summary!$E$127+Trends!AQ70*Summary!$E$128</f>
        <v>6352716.75</v>
      </c>
      <c r="BC70" s="186">
        <f>AG70*Summary!$E$127+Trends!AR70*Summary!$E$128</f>
        <v>6429714.8504031729</v>
      </c>
      <c r="BD70" s="186">
        <f>AH70*Summary!$E$127+Trends!AS70*Summary!$E$128</f>
        <v>6561070.7774288999</v>
      </c>
      <c r="BE70" s="186">
        <f>AI70*Summary!$E$127+Trends!AT70*Summary!$E$128</f>
        <v>6532417.8722494934</v>
      </c>
      <c r="BF70" s="186">
        <f>AJ70*Summary!$E$127+Trends!AU70*Summary!$E$128</f>
        <v>5672852.2210224988</v>
      </c>
      <c r="BG70" s="188"/>
      <c r="BH70" s="186">
        <f t="shared" si="4"/>
        <v>3016487.5551862498</v>
      </c>
      <c r="BI70" s="186">
        <f t="shared" si="5"/>
        <v>3363439.6719362591</v>
      </c>
      <c r="BJ70" s="186">
        <f t="shared" si="6"/>
        <v>3468298.4640815621</v>
      </c>
      <c r="BK70" s="186">
        <f t="shared" si="7"/>
        <v>3547314.6205221754</v>
      </c>
      <c r="BL70" s="186">
        <f t="shared" si="8"/>
        <v>3427621.68710163</v>
      </c>
      <c r="BM70" s="186">
        <f t="shared" si="9"/>
        <v>3404278.8410147335</v>
      </c>
      <c r="BN70" s="186">
        <f t="shared" si="10"/>
        <v>3464336.2674660883</v>
      </c>
      <c r="BO70" s="186">
        <f t="shared" si="11"/>
        <v>3520975.2831986956</v>
      </c>
      <c r="BP70" s="186">
        <f t="shared" si="12"/>
        <v>3513449.9062504256</v>
      </c>
      <c r="BQ70" s="189">
        <f t="shared" si="13"/>
        <v>3032985.9220523266</v>
      </c>
      <c r="BR70" s="185"/>
    </row>
    <row r="71" spans="3:70" s="109" customFormat="1" hidden="1">
      <c r="C71" s="180" t="s">
        <v>82</v>
      </c>
      <c r="D71" s="181">
        <v>73027.659188999998</v>
      </c>
      <c r="E71" s="190">
        <v>73093.770999999993</v>
      </c>
      <c r="F71" s="190">
        <v>74225.375696040006</v>
      </c>
      <c r="G71" s="190">
        <v>74529.791949999999</v>
      </c>
      <c r="H71" s="190">
        <v>74856.385160100006</v>
      </c>
      <c r="I71" s="190">
        <v>75393.419309999997</v>
      </c>
      <c r="J71" s="190">
        <v>77092.632169999997</v>
      </c>
      <c r="K71" s="190">
        <v>77508.602310000002</v>
      </c>
      <c r="L71" s="190">
        <v>77538.911170000007</v>
      </c>
      <c r="M71" s="190">
        <v>78205.297189999997</v>
      </c>
      <c r="N71" s="190">
        <v>66341.149959999995</v>
      </c>
      <c r="O71" s="183"/>
      <c r="P71" s="190">
        <v>39158.152999999998</v>
      </c>
      <c r="Q71" s="190">
        <v>46095.448536360003</v>
      </c>
      <c r="R71" s="190">
        <v>45988.702580000005</v>
      </c>
      <c r="S71" s="190">
        <v>46165.449517649999</v>
      </c>
      <c r="T71" s="190">
        <v>45718.343179999996</v>
      </c>
      <c r="U71" s="190">
        <v>47549.229360000005</v>
      </c>
      <c r="V71" s="190">
        <v>47682.148100000006</v>
      </c>
      <c r="W71" s="190">
        <v>47314.13897</v>
      </c>
      <c r="X71" s="190">
        <v>47910.356540000001</v>
      </c>
      <c r="Y71" s="190">
        <v>39915.477359999997</v>
      </c>
      <c r="Z71" s="184">
        <v>4101585</v>
      </c>
      <c r="AA71" s="185">
        <v>4060488</v>
      </c>
      <c r="AB71" s="185">
        <v>3981558</v>
      </c>
      <c r="AC71" s="185">
        <v>3883240</v>
      </c>
      <c r="AD71" s="185">
        <v>4028525</v>
      </c>
      <c r="AE71" s="185">
        <v>3927474</v>
      </c>
      <c r="AF71" s="185">
        <v>4049271</v>
      </c>
      <c r="AG71" s="185">
        <v>3854468.971911246</v>
      </c>
      <c r="AH71" s="185">
        <v>3813088.5778542245</v>
      </c>
      <c r="AI71" s="186">
        <v>3770732.3454278065</v>
      </c>
      <c r="AJ71" s="185">
        <v>2971093.2413453357</v>
      </c>
      <c r="AK71" s="184">
        <v>794560.11499999987</v>
      </c>
      <c r="AL71" s="185">
        <v>800447</v>
      </c>
      <c r="AM71" s="185">
        <v>786804.38299999991</v>
      </c>
      <c r="AN71" s="185">
        <v>789819</v>
      </c>
      <c r="AO71" s="187">
        <v>821055</v>
      </c>
      <c r="AP71" s="187">
        <v>834465</v>
      </c>
      <c r="AQ71" s="185">
        <v>902613</v>
      </c>
      <c r="AR71" s="185">
        <v>814832</v>
      </c>
      <c r="AS71" s="185">
        <v>810217.75</v>
      </c>
      <c r="AT71" s="186">
        <v>800663.16299999994</v>
      </c>
      <c r="AU71" s="185">
        <v>737610.7</v>
      </c>
      <c r="AV71" s="188">
        <f>Z71*Summary!$E$127+Trends!AK71*Summary!$E$128</f>
        <v>41319406.071850002</v>
      </c>
      <c r="AW71" s="186">
        <f>AA71*Summary!$E$127+Trends!AL71*Summary!$E$128</f>
        <v>41046507.729999997</v>
      </c>
      <c r="AX71" s="186">
        <f>AB71*Summary!$E$127+Trends!AM71*Summary!$E$128</f>
        <v>40268156.462769993</v>
      </c>
      <c r="AY71" s="186">
        <f>AC71*Summary!$E$127+Trends!AN71*Summary!$E$128</f>
        <v>39502499.609999999</v>
      </c>
      <c r="AZ71" s="186">
        <f>AD71*Summary!$E$127+Trends!AO71*Summary!$E$128</f>
        <v>40997602.950000003</v>
      </c>
      <c r="BA71" s="186">
        <f>AE71*Summary!$E$127+Trends!AP71*Summary!$E$128</f>
        <v>40315737.75</v>
      </c>
      <c r="BB71" s="186">
        <f>AF71*Summary!$E$127+Trends!AQ71*Summary!$E$128</f>
        <v>41996721.569999993</v>
      </c>
      <c r="BC71" s="186">
        <f>AG71*Summary!$E$127+Trends!AR71*Summary!$E$128</f>
        <v>39524336.752481088</v>
      </c>
      <c r="BD71" s="186">
        <f>AH71*Summary!$E$127+Trends!AS71*Summary!$E$128</f>
        <v>39142136.353119217</v>
      </c>
      <c r="BE71" s="186">
        <f>AI71*Summary!$E$127+Trends!AT71*Summary!$E$128</f>
        <v>38701689.628935233</v>
      </c>
      <c r="BF71" s="186">
        <f>AJ71*Summary!$E$127+Trends!AU71*Summary!$E$128</f>
        <v>31582108.287897218</v>
      </c>
      <c r="BG71" s="188"/>
      <c r="BH71" s="186">
        <f t="shared" si="4"/>
        <v>21989636.159379747</v>
      </c>
      <c r="BI71" s="186">
        <f t="shared" si="5"/>
        <v>25007333.63054888</v>
      </c>
      <c r="BJ71" s="186">
        <f t="shared" si="6"/>
        <v>24375067.448861383</v>
      </c>
      <c r="BK71" s="186">
        <f t="shared" si="7"/>
        <v>25284052.45971879</v>
      </c>
      <c r="BL71" s="186">
        <f t="shared" si="8"/>
        <v>24447342.365925927</v>
      </c>
      <c r="BM71" s="186">
        <f t="shared" si="9"/>
        <v>25902757.372410383</v>
      </c>
      <c r="BN71" s="186">
        <f t="shared" si="10"/>
        <v>24314788.583704449</v>
      </c>
      <c r="BO71" s="186">
        <f t="shared" si="11"/>
        <v>23884478.786835298</v>
      </c>
      <c r="BP71" s="186">
        <f t="shared" si="12"/>
        <v>23709541.622454222</v>
      </c>
      <c r="BQ71" s="189">
        <f t="shared" si="13"/>
        <v>19002005.981305871</v>
      </c>
      <c r="BR71" s="185"/>
    </row>
    <row r="72" spans="3:70" s="109" customFormat="1" hidden="1">
      <c r="C72" s="180" t="s">
        <v>83</v>
      </c>
      <c r="D72" s="181">
        <v>25273.678974310002</v>
      </c>
      <c r="E72" s="190">
        <v>25532.620999999999</v>
      </c>
      <c r="F72" s="190">
        <v>25561.649594292001</v>
      </c>
      <c r="G72" s="190">
        <v>25086.110780000003</v>
      </c>
      <c r="H72" s="190">
        <v>25347.197856850002</v>
      </c>
      <c r="I72" s="190">
        <v>27435.418379999999</v>
      </c>
      <c r="J72" s="190">
        <v>27885.520850000001</v>
      </c>
      <c r="K72" s="190">
        <v>29680.167399999998</v>
      </c>
      <c r="L72" s="190">
        <v>27288.306980000001</v>
      </c>
      <c r="M72" s="190">
        <v>27772.075059999996</v>
      </c>
      <c r="N72" s="190">
        <v>23756.435600000001</v>
      </c>
      <c r="O72" s="183"/>
      <c r="P72" s="190">
        <v>11242.864</v>
      </c>
      <c r="Q72" s="190">
        <v>13531.921960883999</v>
      </c>
      <c r="R72" s="190">
        <v>13481.805550000001</v>
      </c>
      <c r="S72" s="190">
        <v>13570.417537450001</v>
      </c>
      <c r="T72" s="190">
        <v>13827.414430000001</v>
      </c>
      <c r="U72" s="190">
        <v>13899.774939999999</v>
      </c>
      <c r="V72" s="190">
        <v>12614.061310000001</v>
      </c>
      <c r="W72" s="190">
        <v>12793.19022</v>
      </c>
      <c r="X72" s="190">
        <v>13144.53277</v>
      </c>
      <c r="Y72" s="190">
        <v>11673.02204</v>
      </c>
      <c r="Z72" s="184">
        <v>889353</v>
      </c>
      <c r="AA72" s="185">
        <v>929744</v>
      </c>
      <c r="AB72" s="185">
        <v>939644</v>
      </c>
      <c r="AC72" s="185">
        <v>919011</v>
      </c>
      <c r="AD72" s="185">
        <v>941608</v>
      </c>
      <c r="AE72" s="185">
        <v>913565</v>
      </c>
      <c r="AF72" s="185">
        <v>904361</v>
      </c>
      <c r="AG72" s="185">
        <v>963167.40688400273</v>
      </c>
      <c r="AH72" s="185">
        <v>960217.14850625512</v>
      </c>
      <c r="AI72" s="186">
        <v>959431.05313009</v>
      </c>
      <c r="AJ72" s="185">
        <v>856034.69210936222</v>
      </c>
      <c r="AK72" s="184">
        <v>473759.75599999994</v>
      </c>
      <c r="AL72" s="185">
        <v>513615</v>
      </c>
      <c r="AM72" s="185">
        <v>513198.46299999999</v>
      </c>
      <c r="AN72" s="185">
        <v>506568</v>
      </c>
      <c r="AO72" s="187">
        <v>530367</v>
      </c>
      <c r="AP72" s="187">
        <v>537064</v>
      </c>
      <c r="AQ72" s="185">
        <v>540186</v>
      </c>
      <c r="AR72" s="185">
        <v>573881</v>
      </c>
      <c r="AS72" s="185">
        <v>593291.69299999997</v>
      </c>
      <c r="AT72" s="186">
        <v>607688.59499999997</v>
      </c>
      <c r="AU72" s="185">
        <v>637094.52099999995</v>
      </c>
      <c r="AV72" s="188">
        <f>Z72*Summary!$E$127+Trends!AK72*Summary!$E$128</f>
        <v>12031371.213639999</v>
      </c>
      <c r="AW72" s="186">
        <f>AA72*Summary!$E$127+Trends!AL72*Summary!$E$128</f>
        <v>12764663.25</v>
      </c>
      <c r="AX72" s="186">
        <f>AB72*Summary!$E$127+Trends!AM72*Summary!$E$128</f>
        <v>12840608.737969998</v>
      </c>
      <c r="AY72" s="186">
        <f>AC72*Summary!$E$127+Trends!AN72*Summary!$E$128</f>
        <v>12605917.02</v>
      </c>
      <c r="AZ72" s="186">
        <f>AD72*Summary!$E$127+Trends!AO72*Summary!$E$128</f>
        <v>13031464.529999999</v>
      </c>
      <c r="BA72" s="186">
        <f>AE72*Summary!$E$127+Trends!AP72*Summary!$E$128</f>
        <v>12872558.66</v>
      </c>
      <c r="BB72" s="186">
        <f>AF72*Summary!$E$127+Trends!AQ72*Summary!$E$128</f>
        <v>12829819.439999999</v>
      </c>
      <c r="BC72" s="186">
        <f>AG72*Summary!$E$127+Trends!AR72*Summary!$E$128</f>
        <v>13649503.385760423</v>
      </c>
      <c r="BD72" s="186">
        <f>AH72*Summary!$E$127+Trends!AS72*Summary!$E$128</f>
        <v>13823401.254570667</v>
      </c>
      <c r="BE72" s="186">
        <f>AI72*Summary!$E$127+Trends!AT72*Summary!$E$128</f>
        <v>13963738.313403729</v>
      </c>
      <c r="BF72" s="186">
        <f>AJ72*Summary!$E$127+Trends!AU72*Summary!$E$128</f>
        <v>13425874.175075833</v>
      </c>
      <c r="BG72" s="188"/>
      <c r="BH72" s="186">
        <f t="shared" si="4"/>
        <v>5620706.6609240007</v>
      </c>
      <c r="BI72" s="186">
        <f t="shared" si="5"/>
        <v>6797609.6273245197</v>
      </c>
      <c r="BJ72" s="186">
        <f t="shared" si="6"/>
        <v>6774685.9420938687</v>
      </c>
      <c r="BK72" s="186">
        <f t="shared" si="7"/>
        <v>6976803.3450994855</v>
      </c>
      <c r="BL72" s="186">
        <f t="shared" si="8"/>
        <v>6487752.4702178603</v>
      </c>
      <c r="BM72" s="186">
        <f t="shared" si="9"/>
        <v>6395132.5742168026</v>
      </c>
      <c r="BN72" s="186">
        <f t="shared" si="10"/>
        <v>5801034.4159660833</v>
      </c>
      <c r="BO72" s="186">
        <f t="shared" si="11"/>
        <v>6480629.2990884986</v>
      </c>
      <c r="BP72" s="186">
        <f t="shared" si="12"/>
        <v>6609042.1927672792</v>
      </c>
      <c r="BQ72" s="189">
        <f t="shared" si="13"/>
        <v>6596971.3550768113</v>
      </c>
      <c r="BR72" s="185"/>
    </row>
    <row r="73" spans="3:70" s="109" customFormat="1" hidden="1">
      <c r="C73" s="180" t="s">
        <v>84</v>
      </c>
      <c r="D73" s="181">
        <v>131252.06149960001</v>
      </c>
      <c r="E73" s="190">
        <v>127725.66800000001</v>
      </c>
      <c r="F73" s="190">
        <v>128220.56311938001</v>
      </c>
      <c r="G73" s="182">
        <v>129736.74674999999</v>
      </c>
      <c r="H73" s="190">
        <v>129263.01170575</v>
      </c>
      <c r="I73" s="190">
        <v>127230.21441</v>
      </c>
      <c r="J73" s="182">
        <v>122929.96941999999</v>
      </c>
      <c r="K73" s="182">
        <v>123731.84</v>
      </c>
      <c r="L73" s="182">
        <v>123510.39863</v>
      </c>
      <c r="M73" s="182">
        <v>123986.15430999998</v>
      </c>
      <c r="N73" s="182">
        <v>102476.87454</v>
      </c>
      <c r="O73" s="183"/>
      <c r="P73" s="190">
        <v>55805.493999999999</v>
      </c>
      <c r="Q73" s="190">
        <v>66025.112690159993</v>
      </c>
      <c r="R73" s="182">
        <v>66953.715989999997</v>
      </c>
      <c r="S73" s="190">
        <v>68396.282276450002</v>
      </c>
      <c r="T73" s="190">
        <v>67057.805850000004</v>
      </c>
      <c r="U73" s="182">
        <v>67524.068370000008</v>
      </c>
      <c r="V73" s="182">
        <v>69390.034709999993</v>
      </c>
      <c r="W73" s="182">
        <v>69690.995880000002</v>
      </c>
      <c r="X73" s="182">
        <v>69388.313569999998</v>
      </c>
      <c r="Y73" s="182">
        <v>55592.487090000002</v>
      </c>
      <c r="Z73" s="184">
        <v>5619055</v>
      </c>
      <c r="AA73" s="185">
        <v>5389479</v>
      </c>
      <c r="AB73" s="185">
        <v>5272365</v>
      </c>
      <c r="AC73" s="185">
        <v>5188623</v>
      </c>
      <c r="AD73" s="185">
        <v>5402088</v>
      </c>
      <c r="AE73" s="185">
        <v>5090797</v>
      </c>
      <c r="AF73" s="185">
        <v>5321827</v>
      </c>
      <c r="AG73" s="185">
        <v>5388868.5503645269</v>
      </c>
      <c r="AH73" s="185">
        <v>5552135.7126037125</v>
      </c>
      <c r="AI73" s="186">
        <v>5401064.3344255686</v>
      </c>
      <c r="AJ73" s="185">
        <v>4426844.1300621983</v>
      </c>
      <c r="AK73" s="184">
        <v>1358578.1529999999</v>
      </c>
      <c r="AL73" s="185">
        <v>1350322</v>
      </c>
      <c r="AM73" s="185">
        <v>1367780.007</v>
      </c>
      <c r="AN73" s="185">
        <v>1351193</v>
      </c>
      <c r="AO73" s="187">
        <v>1383410</v>
      </c>
      <c r="AP73" s="187">
        <v>1443339</v>
      </c>
      <c r="AQ73" s="185">
        <v>1500126</v>
      </c>
      <c r="AR73" s="185">
        <v>1560007</v>
      </c>
      <c r="AS73" s="185">
        <v>1613227.3740000001</v>
      </c>
      <c r="AT73" s="186">
        <v>1499236.713</v>
      </c>
      <c r="AU73" s="185">
        <v>1371683.5460000001</v>
      </c>
      <c r="AV73" s="188">
        <f>Z73*Summary!$E$127+Trends!AK73*Summary!$E$128</f>
        <v>59358256.879069999</v>
      </c>
      <c r="AW73" s="186">
        <f>AA73*Summary!$E$127+Trends!AL73*Summary!$E$128</f>
        <v>57414561.079999998</v>
      </c>
      <c r="AX73" s="186">
        <f>AB73*Summary!$E$127+Trends!AM73*Summary!$E$128</f>
        <v>56643834.771329999</v>
      </c>
      <c r="AY73" s="186">
        <f>AC73*Summary!$E$127+Trends!AN73*Summary!$E$128</f>
        <v>55796502.969999999</v>
      </c>
      <c r="AZ73" s="186">
        <f>AD73*Summary!$E$127+Trends!AO73*Summary!$E$128</f>
        <v>57853860.699999996</v>
      </c>
      <c r="BA73" s="186">
        <f>AE73*Summary!$E$127+Trends!AP73*Summary!$E$128</f>
        <v>55943080.109999999</v>
      </c>
      <c r="BB73" s="186">
        <f>AF73*Summary!$E$127+Trends!AQ73*Summary!$E$128</f>
        <v>58393082.639999993</v>
      </c>
      <c r="BC73" s="186">
        <f>AG73*Summary!$E$127+Trends!AR73*Summary!$E$128</f>
        <v>59546306.587952666</v>
      </c>
      <c r="BD73" s="186">
        <f>AH73*Summary!$E$127+Trends!AS73*Summary!$E$128</f>
        <v>61411086.213150069</v>
      </c>
      <c r="BE73" s="186">
        <f>AI73*Summary!$E$127+Trends!AT73*Summary!$E$128</f>
        <v>59025843.214317106</v>
      </c>
      <c r="BF73" s="186">
        <f>AJ73*Summary!$E$127+Trends!AU73*Summary!$E$128</f>
        <v>49834892.787243798</v>
      </c>
      <c r="BG73" s="188"/>
      <c r="BH73" s="186">
        <f t="shared" si="4"/>
        <v>25085388.035414878</v>
      </c>
      <c r="BI73" s="186">
        <f t="shared" si="5"/>
        <v>29167829.89400702</v>
      </c>
      <c r="BJ73" s="186">
        <f t="shared" si="6"/>
        <v>28795104.75383931</v>
      </c>
      <c r="BK73" s="186">
        <f t="shared" si="7"/>
        <v>30611920.107719403</v>
      </c>
      <c r="BL73" s="186">
        <f t="shared" si="8"/>
        <v>29485293.427066047</v>
      </c>
      <c r="BM73" s="186">
        <f t="shared" si="9"/>
        <v>32074672.458813179</v>
      </c>
      <c r="BN73" s="186">
        <f t="shared" si="10"/>
        <v>33394155.303843677</v>
      </c>
      <c r="BO73" s="186">
        <f t="shared" si="11"/>
        <v>34651331.416134112</v>
      </c>
      <c r="BP73" s="186">
        <f t="shared" si="12"/>
        <v>33033557.178072397</v>
      </c>
      <c r="BQ73" s="189">
        <f t="shared" si="13"/>
        <v>27034837.336154234</v>
      </c>
      <c r="BR73" s="185"/>
    </row>
    <row r="74" spans="3:70" s="109" customFormat="1" hidden="1">
      <c r="C74" s="180" t="s">
        <v>85</v>
      </c>
      <c r="D74" s="181">
        <v>102384.96763214</v>
      </c>
      <c r="E74" s="190">
        <v>103772.307</v>
      </c>
      <c r="F74" s="190">
        <v>104949.94122487199</v>
      </c>
      <c r="G74" s="190">
        <v>105212.55781</v>
      </c>
      <c r="H74" s="190">
        <v>108012.13122289001</v>
      </c>
      <c r="I74" s="190">
        <v>111878.56879999999</v>
      </c>
      <c r="J74" s="190">
        <v>116748.68092000001</v>
      </c>
      <c r="K74" s="190">
        <v>119176.36863000001</v>
      </c>
      <c r="L74" s="190">
        <v>121127.24863000002</v>
      </c>
      <c r="M74" s="190">
        <v>122474.65402</v>
      </c>
      <c r="N74" s="190">
        <v>106342.36536</v>
      </c>
      <c r="O74" s="183"/>
      <c r="P74" s="190">
        <v>38801.474000000002</v>
      </c>
      <c r="Q74" s="190">
        <v>49052.684902937996</v>
      </c>
      <c r="R74" s="190">
        <v>49535.013760000002</v>
      </c>
      <c r="S74" s="190">
        <v>50793.770422804999</v>
      </c>
      <c r="T74" s="190">
        <v>52589.813279999995</v>
      </c>
      <c r="U74" s="190">
        <v>54192.933519999999</v>
      </c>
      <c r="V74" s="190">
        <v>56110.935890000001</v>
      </c>
      <c r="W74" s="190">
        <v>56966.900580000001</v>
      </c>
      <c r="X74" s="190">
        <v>57240.281779999998</v>
      </c>
      <c r="Y74" s="190">
        <v>49388.667529999999</v>
      </c>
      <c r="Z74" s="184">
        <v>4343660</v>
      </c>
      <c r="AA74" s="185">
        <v>4241869</v>
      </c>
      <c r="AB74" s="185">
        <v>4106118</v>
      </c>
      <c r="AC74" s="185">
        <v>4177832</v>
      </c>
      <c r="AD74" s="185">
        <v>4266046</v>
      </c>
      <c r="AE74" s="185">
        <v>4298075</v>
      </c>
      <c r="AF74" s="185">
        <v>4481824</v>
      </c>
      <c r="AG74" s="185">
        <v>4491896.0013900213</v>
      </c>
      <c r="AH74" s="185">
        <v>4582429.8055057907</v>
      </c>
      <c r="AI74" s="186">
        <v>4633089.9830007916</v>
      </c>
      <c r="AJ74" s="185">
        <v>4121820.8513728054</v>
      </c>
      <c r="AK74" s="184">
        <v>991653.91899999999</v>
      </c>
      <c r="AL74" s="185">
        <v>997771</v>
      </c>
      <c r="AM74" s="185">
        <v>957407.12800000003</v>
      </c>
      <c r="AN74" s="185">
        <v>983484</v>
      </c>
      <c r="AO74" s="187">
        <v>1029810</v>
      </c>
      <c r="AP74" s="187">
        <v>1068776</v>
      </c>
      <c r="AQ74" s="185">
        <v>1114409</v>
      </c>
      <c r="AR74" s="185">
        <v>1145983</v>
      </c>
      <c r="AS74" s="185">
        <v>1192176.8</v>
      </c>
      <c r="AT74" s="186">
        <v>1207990.3130000001</v>
      </c>
      <c r="AU74" s="185">
        <v>1211034.875</v>
      </c>
      <c r="AV74" s="188">
        <f>Z74*Summary!$E$127+Trends!AK74*Summary!$E$128</f>
        <v>45288599.434610002</v>
      </c>
      <c r="AW74" s="186">
        <f>AA74*Summary!$E$127+Trends!AL74*Summary!$E$128</f>
        <v>44526425.390000001</v>
      </c>
      <c r="AX74" s="186">
        <f>AB74*Summary!$E$127+Trends!AM74*Summary!$E$128</f>
        <v>43015534.434319995</v>
      </c>
      <c r="AY74" s="186">
        <f>AC74*Summary!$E$127+Trends!AN74*Summary!$E$128</f>
        <v>43862141.159999996</v>
      </c>
      <c r="AZ74" s="186">
        <f>AD74*Summary!$E$127+Trends!AO74*Summary!$E$128</f>
        <v>45048736.5</v>
      </c>
      <c r="BA74" s="186">
        <f>AE74*Summary!$E$127+Trends!AP74*Summary!$E$128</f>
        <v>45705234.939999998</v>
      </c>
      <c r="BB74" s="186">
        <f>AF74*Summary!$E$127+Trends!AQ74*Summary!$E$128</f>
        <v>47658602.109999999</v>
      </c>
      <c r="BC74" s="186">
        <f>AG74*Summary!$E$127+Trends!AR74*Summary!$E$128</f>
        <v>48061924.381259173</v>
      </c>
      <c r="BD74" s="186">
        <f>AH74*Summary!$E$127+Trends!AS74*Summary!$E$128</f>
        <v>49265963.016596906</v>
      </c>
      <c r="BE74" s="186">
        <f>AI74*Summary!$E$127+Trends!AT74*Summary!$E$128</f>
        <v>49837450.151776411</v>
      </c>
      <c r="BF74" s="186">
        <f>AJ74*Summary!$E$127+Trends!AU74*Summary!$E$128</f>
        <v>45727194.27236972</v>
      </c>
      <c r="BG74" s="188"/>
      <c r="BH74" s="186">
        <f t="shared" si="4"/>
        <v>16648863.141136728</v>
      </c>
      <c r="BI74" s="186">
        <f t="shared" si="5"/>
        <v>20105084.690015286</v>
      </c>
      <c r="BJ74" s="186">
        <f t="shared" si="6"/>
        <v>20650688.57870838</v>
      </c>
      <c r="BK74" s="186">
        <f t="shared" si="7"/>
        <v>21184612.818134267</v>
      </c>
      <c r="BL74" s="186">
        <f t="shared" si="8"/>
        <v>21484273.504695851</v>
      </c>
      <c r="BM74" s="186">
        <f t="shared" si="9"/>
        <v>22122386.612429071</v>
      </c>
      <c r="BN74" s="186">
        <f t="shared" si="10"/>
        <v>22628643.486188602</v>
      </c>
      <c r="BO74" s="186">
        <f t="shared" si="11"/>
        <v>23170089.710510686</v>
      </c>
      <c r="BP74" s="186">
        <f t="shared" si="12"/>
        <v>23292245.344237022</v>
      </c>
      <c r="BQ74" s="189">
        <f t="shared" si="13"/>
        <v>21237116.433816627</v>
      </c>
      <c r="BR74" s="185"/>
    </row>
    <row r="75" spans="3:70" s="109" customFormat="1" hidden="1">
      <c r="C75" s="180" t="s">
        <v>86</v>
      </c>
      <c r="D75" s="181">
        <v>8262.2587855999991</v>
      </c>
      <c r="E75" s="190">
        <v>9130.65</v>
      </c>
      <c r="F75" s="190">
        <v>10081.491574968</v>
      </c>
      <c r="G75" s="190">
        <v>10099.6487</v>
      </c>
      <c r="H75" s="190">
        <v>10511.26906633</v>
      </c>
      <c r="I75" s="190">
        <v>10036.216839999999</v>
      </c>
      <c r="J75" s="190">
        <v>9739.2087599999995</v>
      </c>
      <c r="K75" s="190">
        <v>9716.8363900000004</v>
      </c>
      <c r="L75" s="190">
        <v>9855.6636699999981</v>
      </c>
      <c r="M75" s="190">
        <v>9826.0682699999998</v>
      </c>
      <c r="N75" s="190">
        <v>8767.6007800000007</v>
      </c>
      <c r="O75" s="183"/>
      <c r="P75" s="190">
        <v>4378.9719999999998</v>
      </c>
      <c r="Q75" s="190">
        <v>5648.3844599160002</v>
      </c>
      <c r="R75" s="190">
        <v>5569.1910000000007</v>
      </c>
      <c r="S75" s="190">
        <v>5797.7641034750004</v>
      </c>
      <c r="T75" s="190">
        <v>5380.3127700000005</v>
      </c>
      <c r="U75" s="190">
        <v>5237.1746599999997</v>
      </c>
      <c r="V75" s="190">
        <v>5198.7387200000003</v>
      </c>
      <c r="W75" s="190">
        <v>5291.0735100000002</v>
      </c>
      <c r="X75" s="190">
        <v>5273.4613800000006</v>
      </c>
      <c r="Y75" s="190">
        <v>4491.9215100000001</v>
      </c>
      <c r="Z75" s="184">
        <v>371038</v>
      </c>
      <c r="AA75" s="185">
        <v>394850</v>
      </c>
      <c r="AB75" s="185">
        <v>419554</v>
      </c>
      <c r="AC75" s="185">
        <v>432604</v>
      </c>
      <c r="AD75" s="185">
        <v>456538</v>
      </c>
      <c r="AE75" s="185">
        <v>434255</v>
      </c>
      <c r="AF75" s="185">
        <v>408811</v>
      </c>
      <c r="AG75" s="185">
        <v>403899.73522789765</v>
      </c>
      <c r="AH75" s="185">
        <v>404026.85388364014</v>
      </c>
      <c r="AI75" s="186">
        <v>411541.53333599289</v>
      </c>
      <c r="AJ75" s="185">
        <v>362481.52838009677</v>
      </c>
      <c r="AK75" s="184">
        <v>239161.30700000003</v>
      </c>
      <c r="AL75" s="185">
        <v>320063</v>
      </c>
      <c r="AM75" s="185">
        <v>378361.23800000001</v>
      </c>
      <c r="AN75" s="185">
        <v>394677</v>
      </c>
      <c r="AO75" s="187">
        <v>419455</v>
      </c>
      <c r="AP75" s="187">
        <v>354138</v>
      </c>
      <c r="AQ75" s="185">
        <v>291814</v>
      </c>
      <c r="AR75" s="185">
        <v>311335</v>
      </c>
      <c r="AS75" s="185">
        <v>324170.60100000002</v>
      </c>
      <c r="AT75" s="186">
        <v>321071.63400000002</v>
      </c>
      <c r="AU75" s="185">
        <v>280857.69099999999</v>
      </c>
      <c r="AV75" s="188">
        <f>Z75*Summary!$E$127+Trends!AK75*Summary!$E$128</f>
        <v>5442461.5183300003</v>
      </c>
      <c r="AW75" s="186">
        <f>AA75*Summary!$E$127+Trends!AL75*Summary!$E$128</f>
        <v>6459726.9699999997</v>
      </c>
      <c r="AX75" s="186">
        <f>AB75*Summary!$E$127+Trends!AM75*Summary!$E$128</f>
        <v>7253888.4152199998</v>
      </c>
      <c r="AY75" s="186">
        <f>AC75*Summary!$E$127+Trends!AN75*Summary!$E$128</f>
        <v>7525851.0299999993</v>
      </c>
      <c r="AZ75" s="186">
        <f>AD75*Summary!$E$127+Trends!AO75*Summary!$E$128</f>
        <v>7972204.25</v>
      </c>
      <c r="BA75" s="186">
        <f>AE75*Summary!$E$127+Trends!AP75*Summary!$E$128</f>
        <v>7126131.7199999997</v>
      </c>
      <c r="BB75" s="186">
        <f>AF75*Summary!$E$127+Trends!AQ75*Summary!$E$128</f>
        <v>6284953.7599999998</v>
      </c>
      <c r="BC75" s="186">
        <f>AG75*Summary!$E$127+Trends!AR75*Summary!$E$128</f>
        <v>6444091.5053459704</v>
      </c>
      <c r="BD75" s="186">
        <f>AH75*Summary!$E$127+Trends!AS75*Summary!$E$128</f>
        <v>6575915.9406474847</v>
      </c>
      <c r="BE75" s="186">
        <f>AI75*Summary!$E$127+Trends!AT75*Summary!$E$128</f>
        <v>6605206.3704815423</v>
      </c>
      <c r="BF75" s="186">
        <f>AJ75*Summary!$E$127+Trends!AU75*Summary!$E$128</f>
        <v>5798040.2511687838</v>
      </c>
      <c r="BG75" s="188"/>
      <c r="BH75" s="186">
        <f t="shared" si="4"/>
        <v>3098022.9807598405</v>
      </c>
      <c r="BI75" s="186">
        <f t="shared" si="5"/>
        <v>4064155.6156459316</v>
      </c>
      <c r="BJ75" s="186">
        <f t="shared" si="6"/>
        <v>4149936.6035985718</v>
      </c>
      <c r="BK75" s="186">
        <f t="shared" si="7"/>
        <v>4397276.8021206073</v>
      </c>
      <c r="BL75" s="186">
        <f t="shared" si="8"/>
        <v>3820246.0254752799</v>
      </c>
      <c r="BM75" s="186">
        <f t="shared" si="9"/>
        <v>3379679.1281783469</v>
      </c>
      <c r="BN75" s="186">
        <f t="shared" si="10"/>
        <v>3447742.3185330778</v>
      </c>
      <c r="BO75" s="186">
        <f t="shared" si="11"/>
        <v>3530320.8188258563</v>
      </c>
      <c r="BP75" s="186">
        <f t="shared" si="12"/>
        <v>3544886.9013062934</v>
      </c>
      <c r="BQ75" s="189">
        <f t="shared" si="13"/>
        <v>2970520.941085876</v>
      </c>
      <c r="BR75" s="185"/>
    </row>
    <row r="76" spans="3:70" s="109" customFormat="1" hidden="1">
      <c r="C76" s="180" t="s">
        <v>87</v>
      </c>
      <c r="D76" s="181">
        <v>111835.73156221</v>
      </c>
      <c r="E76" s="190">
        <v>111989.948</v>
      </c>
      <c r="F76" s="190">
        <v>112715.11312719001</v>
      </c>
      <c r="G76" s="190">
        <v>112766.7288</v>
      </c>
      <c r="H76" s="190">
        <v>112766.28184589</v>
      </c>
      <c r="I76" s="190">
        <v>113672.5052</v>
      </c>
      <c r="J76" s="190">
        <v>118607.62235000002</v>
      </c>
      <c r="K76" s="190">
        <v>119597.96666999999</v>
      </c>
      <c r="L76" s="190">
        <v>114474.44064</v>
      </c>
      <c r="M76" s="190">
        <v>114693.58862000001</v>
      </c>
      <c r="N76" s="190">
        <v>103114.93613</v>
      </c>
      <c r="O76" s="183"/>
      <c r="P76" s="190">
        <v>47194.464999999997</v>
      </c>
      <c r="Q76" s="190">
        <v>57130.675907987999</v>
      </c>
      <c r="R76" s="190">
        <v>57141.72883</v>
      </c>
      <c r="S76" s="190">
        <v>57357.791265460008</v>
      </c>
      <c r="T76" s="190">
        <v>57115.078289999998</v>
      </c>
      <c r="U76" s="190">
        <v>60194.515100000004</v>
      </c>
      <c r="V76" s="190">
        <v>56818.209219999997</v>
      </c>
      <c r="W76" s="190">
        <v>57033.049369999993</v>
      </c>
      <c r="X76" s="190">
        <v>57260.690889999998</v>
      </c>
      <c r="Y76" s="190">
        <v>48245.794500000004</v>
      </c>
      <c r="Z76" s="184">
        <v>4952455</v>
      </c>
      <c r="AA76" s="185">
        <v>4854761</v>
      </c>
      <c r="AB76" s="185">
        <v>4824293</v>
      </c>
      <c r="AC76" s="185">
        <v>4815395</v>
      </c>
      <c r="AD76" s="185">
        <v>4913501</v>
      </c>
      <c r="AE76" s="185">
        <v>4804289</v>
      </c>
      <c r="AF76" s="185">
        <v>4869710</v>
      </c>
      <c r="AG76" s="185">
        <v>4864653.9941203836</v>
      </c>
      <c r="AH76" s="185">
        <v>4905755.8451172486</v>
      </c>
      <c r="AI76" s="186">
        <v>4788084.5027058292</v>
      </c>
      <c r="AJ76" s="185">
        <v>4137129.0016172808</v>
      </c>
      <c r="AK76" s="184">
        <v>1452069.5239999997</v>
      </c>
      <c r="AL76" s="185">
        <v>1472441</v>
      </c>
      <c r="AM76" s="185">
        <v>1466076.9510000001</v>
      </c>
      <c r="AN76" s="185">
        <v>1503718</v>
      </c>
      <c r="AO76" s="187">
        <v>1558782</v>
      </c>
      <c r="AP76" s="187">
        <v>1586290</v>
      </c>
      <c r="AQ76" s="185">
        <v>1588495</v>
      </c>
      <c r="AR76" s="185">
        <v>1647488</v>
      </c>
      <c r="AS76" s="185">
        <v>1681932.95</v>
      </c>
      <c r="AT76" s="186">
        <v>1656620.6839999999</v>
      </c>
      <c r="AU76" s="185">
        <v>1608577.04</v>
      </c>
      <c r="AV76" s="188">
        <f>Z76*Summary!$E$127+Trends!AK76*Summary!$E$128</f>
        <v>54911473.949559994</v>
      </c>
      <c r="AW76" s="186">
        <f>AA76*Summary!$E$127+Trends!AL76*Summary!$E$128</f>
        <v>54327737.890000001</v>
      </c>
      <c r="AX76" s="186">
        <f>AB76*Summary!$E$127+Trends!AM76*Summary!$E$128</f>
        <v>54016097.430689998</v>
      </c>
      <c r="AY76" s="186">
        <f>AC76*Summary!$E$127+Trends!AN76*Summary!$E$128</f>
        <v>54327585.920000002</v>
      </c>
      <c r="AZ76" s="186">
        <f>AD76*Summary!$E$127+Trends!AO76*Summary!$E$128</f>
        <v>55683346.68</v>
      </c>
      <c r="BA76" s="186">
        <f>AE76*Summary!$E$127+Trends!AP76*Summary!$E$128</f>
        <v>55079036</v>
      </c>
      <c r="BB76" s="186">
        <f>AF76*Summary!$E$127+Trends!AQ76*Summary!$E$128</f>
        <v>55631415.049999997</v>
      </c>
      <c r="BC76" s="186">
        <f>AG76*Summary!$E$127+Trends!AR76*Summary!$E$128</f>
        <v>56191600.072375104</v>
      </c>
      <c r="BD76" s="186">
        <f>AH76*Summary!$E$127+Trends!AS76*Summary!$E$128</f>
        <v>56875519.105949707</v>
      </c>
      <c r="BE76" s="186">
        <f>AI76*Summary!$E$127+Trends!AT76*Summary!$E$128</f>
        <v>55664449.241877213</v>
      </c>
      <c r="BF76" s="186">
        <f>AJ76*Summary!$E$127+Trends!AU76*Summary!$E$128</f>
        <v>49902144.95069997</v>
      </c>
      <c r="BG76" s="188"/>
      <c r="BH76" s="186">
        <f t="shared" si="4"/>
        <v>22894630.903648414</v>
      </c>
      <c r="BI76" s="186">
        <f t="shared" si="5"/>
        <v>27378548.186743829</v>
      </c>
      <c r="BJ76" s="186">
        <f t="shared" si="6"/>
        <v>27529149.915619139</v>
      </c>
      <c r="BK76" s="186">
        <f t="shared" si="7"/>
        <v>28322950.119066048</v>
      </c>
      <c r="BL76" s="186">
        <f t="shared" si="8"/>
        <v>27674620.593104765</v>
      </c>
      <c r="BM76" s="186">
        <f t="shared" si="9"/>
        <v>28233481.010013618</v>
      </c>
      <c r="BN76" s="186">
        <f t="shared" si="10"/>
        <v>26695320.817018833</v>
      </c>
      <c r="BO76" s="186">
        <f t="shared" si="11"/>
        <v>28336319.190369159</v>
      </c>
      <c r="BP76" s="186">
        <f t="shared" si="12"/>
        <v>27790435.890550006</v>
      </c>
      <c r="BQ76" s="189">
        <f t="shared" si="13"/>
        <v>23348398.6002318</v>
      </c>
      <c r="BR76" s="185"/>
    </row>
    <row r="77" spans="3:70" s="109" customFormat="1" hidden="1">
      <c r="C77" s="180" t="s">
        <v>88</v>
      </c>
      <c r="D77" s="181">
        <v>47745.917333300007</v>
      </c>
      <c r="E77" s="190">
        <v>47463.576999999997</v>
      </c>
      <c r="F77" s="190">
        <v>47871.81166824</v>
      </c>
      <c r="G77" s="182">
        <v>47998.607759999999</v>
      </c>
      <c r="H77" s="190">
        <v>47698.782218799999</v>
      </c>
      <c r="I77" s="190">
        <v>47713.000200000002</v>
      </c>
      <c r="J77" s="182">
        <v>49013.277919999993</v>
      </c>
      <c r="K77" s="182">
        <v>49402.260409999995</v>
      </c>
      <c r="L77" s="182">
        <v>45433.012820000004</v>
      </c>
      <c r="M77" s="182">
        <v>44648.236609999993</v>
      </c>
      <c r="N77" s="182">
        <v>42000.178540000001</v>
      </c>
      <c r="O77" s="183"/>
      <c r="P77" s="190">
        <v>18251.402999999998</v>
      </c>
      <c r="Q77" s="190">
        <v>23616.140041140003</v>
      </c>
      <c r="R77" s="182">
        <v>23530.879499999999</v>
      </c>
      <c r="S77" s="190">
        <v>23442.609515600001</v>
      </c>
      <c r="T77" s="190">
        <v>23066.75834</v>
      </c>
      <c r="U77" s="182">
        <v>23608.001369999998</v>
      </c>
      <c r="V77" s="182">
        <v>21887.731659999998</v>
      </c>
      <c r="W77" s="182">
        <v>22198.67596</v>
      </c>
      <c r="X77" s="182">
        <v>21732.978019999999</v>
      </c>
      <c r="Y77" s="182">
        <v>20264.220850000002</v>
      </c>
      <c r="Z77" s="184">
        <v>1856007</v>
      </c>
      <c r="AA77" s="185">
        <v>1755853</v>
      </c>
      <c r="AB77" s="185">
        <v>1859439</v>
      </c>
      <c r="AC77" s="185">
        <v>1798221</v>
      </c>
      <c r="AD77" s="185">
        <v>1935642</v>
      </c>
      <c r="AE77" s="185">
        <v>1794536</v>
      </c>
      <c r="AF77" s="185">
        <v>1831666</v>
      </c>
      <c r="AG77" s="185">
        <v>1780034.2885917798</v>
      </c>
      <c r="AH77" s="185">
        <v>1837428.2681713419</v>
      </c>
      <c r="AI77" s="186">
        <v>1815898.6516193957</v>
      </c>
      <c r="AJ77" s="185">
        <v>1652166.64743106</v>
      </c>
      <c r="AK77" s="184">
        <v>777552.527</v>
      </c>
      <c r="AL77" s="185">
        <v>790149</v>
      </c>
      <c r="AM77" s="185">
        <v>816781.01300000004</v>
      </c>
      <c r="AN77" s="185">
        <v>871121</v>
      </c>
      <c r="AO77" s="187">
        <v>877727</v>
      </c>
      <c r="AP77" s="187">
        <v>864089</v>
      </c>
      <c r="AQ77" s="185">
        <v>887342</v>
      </c>
      <c r="AR77" s="185">
        <v>973041</v>
      </c>
      <c r="AS77" s="185">
        <v>945058.68900000001</v>
      </c>
      <c r="AT77" s="186">
        <v>932354.40300000005</v>
      </c>
      <c r="AU77" s="185">
        <v>904179.23699999996</v>
      </c>
      <c r="AV77" s="188">
        <f>Z77*Summary!$E$127+Trends!AK77*Summary!$E$128</f>
        <v>22956916.950130001</v>
      </c>
      <c r="AW77" s="186">
        <f>AA77*Summary!$E$127+Trends!AL77*Summary!$E$128</f>
        <v>22274027.609999999</v>
      </c>
      <c r="AX77" s="186">
        <f>AB77*Summary!$E$127+Trends!AM77*Summary!$E$128</f>
        <v>23384454.42247</v>
      </c>
      <c r="AY77" s="186">
        <f>AC77*Summary!$E$127+Trends!AN77*Summary!$E$128</f>
        <v>23442313.09</v>
      </c>
      <c r="AZ77" s="186">
        <f>AD77*Summary!$E$127+Trends!AO77*Summary!$E$128</f>
        <v>24622738.329999998</v>
      </c>
      <c r="BA77" s="186">
        <f>AE77*Summary!$E$127+Trends!AP77*Summary!$E$128</f>
        <v>23340808.509999998</v>
      </c>
      <c r="BB77" s="186">
        <f>AF77*Summary!$E$127+Trends!AQ77*Summary!$E$128</f>
        <v>23878509.579999998</v>
      </c>
      <c r="BC77" s="186">
        <f>AG77*Summary!$E$127+Trends!AR77*Summary!$E$128</f>
        <v>24333565.527593415</v>
      </c>
      <c r="BD77" s="186">
        <f>AH77*Summary!$E$127+Trends!AS77*Summary!$E$128</f>
        <v>24513317.013097867</v>
      </c>
      <c r="BE77" s="186">
        <f>AI77*Summary!$E$127+Trends!AT77*Summary!$E$128</f>
        <v>24209470.444687106</v>
      </c>
      <c r="BF77" s="186">
        <f>AJ77*Summary!$E$127+Trends!AU77*Summary!$E$128</f>
        <v>22596136.269221582</v>
      </c>
      <c r="BG77" s="188"/>
      <c r="BH77" s="186">
        <f t="shared" si="4"/>
        <v>8565141.526169356</v>
      </c>
      <c r="BI77" s="186">
        <f t="shared" si="5"/>
        <v>11536027.803875478</v>
      </c>
      <c r="BJ77" s="186">
        <f t="shared" si="6"/>
        <v>11492380.097361028</v>
      </c>
      <c r="BK77" s="186">
        <f t="shared" si="7"/>
        <v>12101383.159578461</v>
      </c>
      <c r="BL77" s="186">
        <f t="shared" si="8"/>
        <v>11284069.060917813</v>
      </c>
      <c r="BM77" s="186">
        <f t="shared" si="9"/>
        <v>11501452.47984259</v>
      </c>
      <c r="BN77" s="186">
        <f t="shared" si="10"/>
        <v>10781015.851881564</v>
      </c>
      <c r="BO77" s="186">
        <f t="shared" si="11"/>
        <v>11977263.828714643</v>
      </c>
      <c r="BP77" s="186">
        <f t="shared" si="12"/>
        <v>11784203.117495183</v>
      </c>
      <c r="BQ77" s="189">
        <f t="shared" si="13"/>
        <v>10902170.220065003</v>
      </c>
      <c r="BR77" s="185"/>
    </row>
    <row r="78" spans="3:70" s="109" customFormat="1" hidden="1">
      <c r="C78" s="180" t="s">
        <v>89</v>
      </c>
      <c r="D78" s="181">
        <v>33774.105561899996</v>
      </c>
      <c r="E78" s="190">
        <v>33373.396999999997</v>
      </c>
      <c r="F78" s="190">
        <v>33172.937427960002</v>
      </c>
      <c r="G78" s="190">
        <v>33705.846090000006</v>
      </c>
      <c r="H78" s="190">
        <v>34610.071285149999</v>
      </c>
      <c r="I78" s="190">
        <v>35998.504560000001</v>
      </c>
      <c r="J78" s="190">
        <v>36719.18866</v>
      </c>
      <c r="K78" s="190">
        <v>36752.883289999998</v>
      </c>
      <c r="L78" s="190">
        <v>36848.416940000003</v>
      </c>
      <c r="M78" s="190">
        <v>35808.465319999996</v>
      </c>
      <c r="N78" s="190">
        <v>32297.978449999999</v>
      </c>
      <c r="O78" s="183"/>
      <c r="P78" s="190">
        <v>16225.255999999999</v>
      </c>
      <c r="Q78" s="190">
        <v>19033.386104220001</v>
      </c>
      <c r="R78" s="190">
        <v>19275.808839999998</v>
      </c>
      <c r="S78" s="190">
        <v>19299.9777245</v>
      </c>
      <c r="T78" s="190">
        <v>20147.491819999999</v>
      </c>
      <c r="U78" s="190">
        <v>20799.736669999998</v>
      </c>
      <c r="V78" s="190">
        <v>20825.06683</v>
      </c>
      <c r="W78" s="190">
        <v>21199.381150000001</v>
      </c>
      <c r="X78" s="190">
        <v>21130.91156</v>
      </c>
      <c r="Y78" s="190">
        <v>18798.184379999999</v>
      </c>
      <c r="Z78" s="184">
        <v>1483201</v>
      </c>
      <c r="AA78" s="185">
        <v>1435758</v>
      </c>
      <c r="AB78" s="185">
        <v>1423436</v>
      </c>
      <c r="AC78" s="185">
        <v>1419623</v>
      </c>
      <c r="AD78" s="185">
        <v>1459942</v>
      </c>
      <c r="AE78" s="185">
        <v>1448883</v>
      </c>
      <c r="AF78" s="185">
        <v>1500721</v>
      </c>
      <c r="AG78" s="185">
        <v>1529368.812200103</v>
      </c>
      <c r="AH78" s="185">
        <v>1546461.31794992</v>
      </c>
      <c r="AI78" s="186">
        <v>1506779.3957440113</v>
      </c>
      <c r="AJ78" s="185">
        <v>1298381.8948324395</v>
      </c>
      <c r="AK78" s="184">
        <v>518080.02999999997</v>
      </c>
      <c r="AL78" s="185">
        <v>519214</v>
      </c>
      <c r="AM78" s="185">
        <v>513431.57100000005</v>
      </c>
      <c r="AN78" s="185">
        <v>522774</v>
      </c>
      <c r="AO78" s="187">
        <v>527830</v>
      </c>
      <c r="AP78" s="187">
        <v>548509</v>
      </c>
      <c r="AQ78" s="185">
        <v>565570</v>
      </c>
      <c r="AR78" s="185">
        <v>582029</v>
      </c>
      <c r="AS78" s="185">
        <v>597908.03200000001</v>
      </c>
      <c r="AT78" s="186">
        <v>574017.08700000006</v>
      </c>
      <c r="AU78" s="185">
        <v>608856.33400000003</v>
      </c>
      <c r="AV78" s="188">
        <f>Z78*Summary!$E$127+Trends!AK78*Summary!$E$128</f>
        <v>17293163.605700001</v>
      </c>
      <c r="AW78" s="186">
        <f>AA78*Summary!$E$127+Trends!AL78*Summary!$E$128</f>
        <v>16920430.460000001</v>
      </c>
      <c r="AX78" s="186">
        <f>AB78*Summary!$E$127+Trends!AM78*Summary!$E$128</f>
        <v>16761699.308490001</v>
      </c>
      <c r="AY78" s="186">
        <f>AC78*Summary!$E$127+Trends!AN78*Summary!$E$128</f>
        <v>16826013.359999999</v>
      </c>
      <c r="AZ78" s="186">
        <f>AD78*Summary!$E$127+Trends!AO78*Summary!$E$128</f>
        <v>17204117.899999999</v>
      </c>
      <c r="BA78" s="186">
        <f>AE78*Summary!$E$127+Trends!AP78*Summary!$E$128</f>
        <v>17325259.009999998</v>
      </c>
      <c r="BB78" s="186">
        <f>AF78*Summary!$E$127+Trends!AQ78*Summary!$E$128</f>
        <v>17918998.399999999</v>
      </c>
      <c r="BC78" s="186">
        <f>AG78*Summary!$E$127+Trends!AR78*Summary!$E$128</f>
        <v>18318762.888820834</v>
      </c>
      <c r="BD78" s="186">
        <f>AH78*Summary!$E$127+Trends!AS78*Summary!$E$128</f>
        <v>18619019.52147435</v>
      </c>
      <c r="BE78" s="186">
        <f>AI78*Summary!$E$127+Trends!AT78*Summary!$E$128</f>
        <v>18054147.222056489</v>
      </c>
      <c r="BF78" s="186">
        <f>AJ78*Summary!$E$127+Trends!AU78*Summary!$E$128</f>
        <v>16721139.39160276</v>
      </c>
      <c r="BG78" s="188"/>
      <c r="BH78" s="186">
        <f t="shared" si="4"/>
        <v>8226262.2484518969</v>
      </c>
      <c r="BI78" s="186">
        <f t="shared" si="5"/>
        <v>9617233.7886614073</v>
      </c>
      <c r="BJ78" s="186">
        <f t="shared" si="6"/>
        <v>9622515.221858535</v>
      </c>
      <c r="BK78" s="186">
        <f t="shared" si="7"/>
        <v>9593713.0410401188</v>
      </c>
      <c r="BL78" s="186">
        <f t="shared" si="8"/>
        <v>9696528.1877630372</v>
      </c>
      <c r="BM78" s="186">
        <f t="shared" si="9"/>
        <v>10150290.943551345</v>
      </c>
      <c r="BN78" s="186">
        <f t="shared" si="10"/>
        <v>10379851.245750187</v>
      </c>
      <c r="BO78" s="186">
        <f t="shared" si="11"/>
        <v>10711767.946984844</v>
      </c>
      <c r="BP78" s="186">
        <f t="shared" si="12"/>
        <v>10653921.770487521</v>
      </c>
      <c r="BQ78" s="189">
        <f t="shared" si="13"/>
        <v>9732097.0664970428</v>
      </c>
      <c r="BR78" s="185"/>
    </row>
    <row r="79" spans="3:70" s="109" customFormat="1" hidden="1">
      <c r="C79" s="180" t="s">
        <v>90</v>
      </c>
      <c r="D79" s="181">
        <v>100328.712345785</v>
      </c>
      <c r="E79" s="190">
        <v>99204.179000000004</v>
      </c>
      <c r="F79" s="190">
        <v>98884.385784137994</v>
      </c>
      <c r="G79" s="190">
        <v>98627.976119999992</v>
      </c>
      <c r="H79" s="190">
        <v>99881.537564164988</v>
      </c>
      <c r="I79" s="190">
        <v>100945.06018</v>
      </c>
      <c r="J79" s="190">
        <v>101362.49286</v>
      </c>
      <c r="K79" s="190">
        <v>101614.05385</v>
      </c>
      <c r="L79" s="190">
        <v>102109.44678</v>
      </c>
      <c r="M79" s="190">
        <v>102863.50977</v>
      </c>
      <c r="N79" s="190">
        <v>87982.490940000003</v>
      </c>
      <c r="O79" s="183"/>
      <c r="P79" s="190">
        <v>44794.923000000003</v>
      </c>
      <c r="Q79" s="190">
        <v>52446.063444191997</v>
      </c>
      <c r="R79" s="190">
        <v>51830.353389999997</v>
      </c>
      <c r="S79" s="190">
        <v>53565.799840729997</v>
      </c>
      <c r="T79" s="190">
        <v>55121.410520000005</v>
      </c>
      <c r="U79" s="190">
        <v>55465.423640000008</v>
      </c>
      <c r="V79" s="190">
        <v>56171.647979999994</v>
      </c>
      <c r="W79" s="190">
        <v>57058.125039999999</v>
      </c>
      <c r="X79" s="190">
        <v>57773.061570000005</v>
      </c>
      <c r="Y79" s="190">
        <v>48028.200100000002</v>
      </c>
      <c r="Z79" s="184">
        <v>5021446</v>
      </c>
      <c r="AA79" s="185">
        <v>4973428</v>
      </c>
      <c r="AB79" s="185">
        <v>4896324</v>
      </c>
      <c r="AC79" s="185">
        <v>4867977</v>
      </c>
      <c r="AD79" s="185">
        <v>4862165</v>
      </c>
      <c r="AE79" s="185">
        <v>4666022</v>
      </c>
      <c r="AF79" s="185">
        <v>4728554</v>
      </c>
      <c r="AG79" s="185">
        <v>4766280.3495095167</v>
      </c>
      <c r="AH79" s="185">
        <v>4694614.2293803729</v>
      </c>
      <c r="AI79" s="186">
        <v>4679656.9451550459</v>
      </c>
      <c r="AJ79" s="185">
        <v>3973441.6728201043</v>
      </c>
      <c r="AK79" s="184">
        <v>1500590.23</v>
      </c>
      <c r="AL79" s="185">
        <v>1541544</v>
      </c>
      <c r="AM79" s="185">
        <v>1530058.6679999998</v>
      </c>
      <c r="AN79" s="185">
        <v>1548170</v>
      </c>
      <c r="AO79" s="187">
        <v>1591890</v>
      </c>
      <c r="AP79" s="187">
        <v>1548917</v>
      </c>
      <c r="AQ79" s="185">
        <v>1492768</v>
      </c>
      <c r="AR79" s="185">
        <v>1538691</v>
      </c>
      <c r="AS79" s="185">
        <v>1567211.362</v>
      </c>
      <c r="AT79" s="186">
        <v>1564702.608</v>
      </c>
      <c r="AU79" s="185">
        <v>1475953.1129999999</v>
      </c>
      <c r="AV79" s="188">
        <f>Z79*Summary!$E$127+Trends!AK79*Summary!$E$128</f>
        <v>55964727.043700002</v>
      </c>
      <c r="AW79" s="186">
        <f>AA79*Summary!$E$127+Trends!AL79*Summary!$E$128</f>
        <v>55993100.159999996</v>
      </c>
      <c r="AX79" s="186">
        <f>AB79*Summary!$E$127+Trends!AM79*Summary!$E$128</f>
        <v>55251522.226919994</v>
      </c>
      <c r="AY79" s="186">
        <f>AC79*Summary!$E$127+Trends!AN79*Summary!$E$128</f>
        <v>55206465.999999993</v>
      </c>
      <c r="AZ79" s="186">
        <f>AD79*Summary!$E$127+Trends!AO79*Summary!$E$128</f>
        <v>55604895.600000001</v>
      </c>
      <c r="BA79" s="186">
        <f>AE79*Summary!$E$127+Trends!AP79*Summary!$E$128</f>
        <v>53578242.429999992</v>
      </c>
      <c r="BB79" s="186">
        <f>AF79*Summary!$E$127+Trends!AQ79*Summary!$E$128</f>
        <v>53512593.32</v>
      </c>
      <c r="BC79" s="186">
        <f>AG79*Summary!$E$127+Trends!AR79*Summary!$E$128</f>
        <v>54286132.121027082</v>
      </c>
      <c r="BD79" s="186">
        <f>AH79*Summary!$E$127+Trends!AS79*Summary!$E$128</f>
        <v>53996259.036761016</v>
      </c>
      <c r="BE79" s="186">
        <f>AI79*Summary!$E$127+Trends!AT79*Summary!$E$128</f>
        <v>53849540.831275873</v>
      </c>
      <c r="BF79" s="186">
        <f>AJ79*Summary!$E$127+Trends!AU79*Summary!$E$128</f>
        <v>47224839.77131284</v>
      </c>
      <c r="BG79" s="188"/>
      <c r="BH79" s="186">
        <f t="shared" si="4"/>
        <v>25283275.719649751</v>
      </c>
      <c r="BI79" s="186">
        <f t="shared" si="5"/>
        <v>29304169.886102013</v>
      </c>
      <c r="BJ79" s="186">
        <f t="shared" si="6"/>
        <v>29011754.623369832</v>
      </c>
      <c r="BK79" s="186">
        <f t="shared" si="7"/>
        <v>29820533.208760969</v>
      </c>
      <c r="BL79" s="186">
        <f t="shared" si="8"/>
        <v>29256590.571722142</v>
      </c>
      <c r="BM79" s="186">
        <f t="shared" si="9"/>
        <v>29282021.138413768</v>
      </c>
      <c r="BN79" s="186">
        <f t="shared" si="10"/>
        <v>30009052.765471414</v>
      </c>
      <c r="BO79" s="186">
        <f t="shared" si="11"/>
        <v>30172774.380511042</v>
      </c>
      <c r="BP79" s="186">
        <f t="shared" si="12"/>
        <v>30244474.886359207</v>
      </c>
      <c r="BQ79" s="189">
        <f t="shared" si="13"/>
        <v>25779266.192563325</v>
      </c>
      <c r="BR79" s="185"/>
    </row>
    <row r="80" spans="3:70" s="109" customFormat="1" hidden="1">
      <c r="C80" s="180" t="s">
        <v>91</v>
      </c>
      <c r="D80" s="181">
        <v>8280.2204385200002</v>
      </c>
      <c r="E80" s="190">
        <v>7901.4290000000001</v>
      </c>
      <c r="F80" s="190">
        <v>7806.8728834800004</v>
      </c>
      <c r="G80" s="190">
        <v>7775.1248199999991</v>
      </c>
      <c r="H80" s="190">
        <v>7676.9780228649997</v>
      </c>
      <c r="I80" s="190">
        <v>7832.5614200000009</v>
      </c>
      <c r="J80" s="190">
        <v>7927.0705099999996</v>
      </c>
      <c r="K80" s="190">
        <v>8000.9804400000003</v>
      </c>
      <c r="L80" s="190">
        <v>8008.5822000000007</v>
      </c>
      <c r="M80" s="190">
        <v>7580.8322599999992</v>
      </c>
      <c r="N80" s="190">
        <v>6864.09328</v>
      </c>
      <c r="O80" s="183"/>
      <c r="P80" s="190">
        <v>3782.3049999999998</v>
      </c>
      <c r="Q80" s="190">
        <v>5392.8026211059996</v>
      </c>
      <c r="R80" s="190">
        <v>5329.76325</v>
      </c>
      <c r="S80" s="190">
        <v>5244.0129499550003</v>
      </c>
      <c r="T80" s="190">
        <v>5481.2250100000001</v>
      </c>
      <c r="U80" s="190">
        <v>5578.6808900000005</v>
      </c>
      <c r="V80" s="190">
        <v>5657.5958200000005</v>
      </c>
      <c r="W80" s="190">
        <v>5654.7141700000002</v>
      </c>
      <c r="X80" s="190">
        <v>5245.2016399999993</v>
      </c>
      <c r="Y80" s="190">
        <v>4707.8917000000001</v>
      </c>
      <c r="Z80" s="184">
        <v>383501</v>
      </c>
      <c r="AA80" s="185">
        <v>364057</v>
      </c>
      <c r="AB80" s="185">
        <v>354491</v>
      </c>
      <c r="AC80" s="185">
        <v>352265</v>
      </c>
      <c r="AD80" s="185">
        <v>357714</v>
      </c>
      <c r="AE80" s="185">
        <v>359531</v>
      </c>
      <c r="AF80" s="185">
        <v>354875</v>
      </c>
      <c r="AG80" s="185">
        <v>353668.85091019026</v>
      </c>
      <c r="AH80" s="185">
        <v>373693.31013066624</v>
      </c>
      <c r="AI80" s="186">
        <v>366451.36516781256</v>
      </c>
      <c r="AJ80" s="185">
        <v>304203.28687201807</v>
      </c>
      <c r="AK80" s="184">
        <v>62574.516000000003</v>
      </c>
      <c r="AL80" s="185">
        <v>61909</v>
      </c>
      <c r="AM80" s="185">
        <v>57533.460999999996</v>
      </c>
      <c r="AN80" s="185">
        <v>59817</v>
      </c>
      <c r="AO80" s="187">
        <v>73474</v>
      </c>
      <c r="AP80" s="187">
        <v>67430</v>
      </c>
      <c r="AQ80" s="185">
        <v>54683</v>
      </c>
      <c r="AR80" s="185">
        <v>63057</v>
      </c>
      <c r="AS80" s="185">
        <v>69290.3</v>
      </c>
      <c r="AT80" s="186">
        <v>70602.850000000006</v>
      </c>
      <c r="AU80" s="185">
        <v>62747.341</v>
      </c>
      <c r="AV80" s="188">
        <f>Z80*Summary!$E$127+Trends!AK80*Summary!$E$128</f>
        <v>3743992.4180399999</v>
      </c>
      <c r="AW80" s="186">
        <f>AA80*Summary!$E$127+Trends!AL80*Summary!$E$128</f>
        <v>3579714.4099999997</v>
      </c>
      <c r="AX80" s="186">
        <f>AB80*Summary!$E$127+Trends!AM80*Summary!$E$128</f>
        <v>3457643.0675900001</v>
      </c>
      <c r="AY80" s="186">
        <f>AC80*Summary!$E$127+Trends!AN80*Summary!$E$128</f>
        <v>3462881.73</v>
      </c>
      <c r="AZ80" s="186">
        <f>AD80*Summary!$E$127+Trends!AO80*Summary!$E$128</f>
        <v>3646183.46</v>
      </c>
      <c r="BA80" s="186">
        <f>AE80*Summary!$E$127+Trends!AP80*Summary!$E$128</f>
        <v>3599312.8</v>
      </c>
      <c r="BB80" s="186">
        <f>AF80*Summary!$E$127+Trends!AQ80*Summary!$E$128</f>
        <v>3431707.27</v>
      </c>
      <c r="BC80" s="186">
        <f>AG80*Summary!$E$127+Trends!AR80*Summary!$E$128</f>
        <v>3507268.522372541</v>
      </c>
      <c r="BD80" s="186">
        <f>AH80*Summary!$E$127+Trends!AS80*Summary!$E$128</f>
        <v>3732983.9690583968</v>
      </c>
      <c r="BE80" s="186">
        <f>AI80*Summary!$E$127+Trends!AT80*Summary!$E$128</f>
        <v>3687699.0993592814</v>
      </c>
      <c r="BF80" s="186">
        <f>AJ80*Summary!$E$127+Trends!AU80*Summary!$E$128</f>
        <v>3103442.0284533463</v>
      </c>
      <c r="BG80" s="188"/>
      <c r="BH80" s="186">
        <f t="shared" si="4"/>
        <v>1713559.8777784435</v>
      </c>
      <c r="BI80" s="186">
        <f t="shared" si="5"/>
        <v>2388457.8212110591</v>
      </c>
      <c r="BJ80" s="186">
        <f t="shared" si="6"/>
        <v>2373767.651443366</v>
      </c>
      <c r="BK80" s="186">
        <f t="shared" si="7"/>
        <v>2490645.827720636</v>
      </c>
      <c r="BL80" s="186">
        <f t="shared" si="8"/>
        <v>2518798.4211393679</v>
      </c>
      <c r="BM80" s="186">
        <f t="shared" si="9"/>
        <v>2415066.1638586931</v>
      </c>
      <c r="BN80" s="186">
        <f t="shared" si="10"/>
        <v>2480034.5258427435</v>
      </c>
      <c r="BO80" s="186">
        <f t="shared" si="11"/>
        <v>2635792.0564538073</v>
      </c>
      <c r="BP80" s="186">
        <f t="shared" si="12"/>
        <v>2551530.5840292824</v>
      </c>
      <c r="BQ80" s="189">
        <f t="shared" si="13"/>
        <v>2128565.0370979039</v>
      </c>
      <c r="BR80" s="185"/>
    </row>
    <row r="81" spans="3:70" s="109" customFormat="1" hidden="1">
      <c r="C81" s="180" t="s">
        <v>92</v>
      </c>
      <c r="D81" s="181">
        <v>49124.335197070002</v>
      </c>
      <c r="E81" s="190">
        <v>48730.178999999996</v>
      </c>
      <c r="F81" s="190">
        <v>49036.190294928005</v>
      </c>
      <c r="G81" s="182">
        <v>48986.259570000002</v>
      </c>
      <c r="H81" s="190">
        <v>49931.269099545003</v>
      </c>
      <c r="I81" s="190">
        <v>51726.048480000005</v>
      </c>
      <c r="J81" s="182">
        <v>54552.642219999994</v>
      </c>
      <c r="K81" s="182">
        <v>55497.23573</v>
      </c>
      <c r="L81" s="182">
        <v>56800.682760000003</v>
      </c>
      <c r="M81" s="182">
        <v>57939.397369999999</v>
      </c>
      <c r="N81" s="182">
        <v>53972.052009999999</v>
      </c>
      <c r="O81" s="183"/>
      <c r="P81" s="190">
        <v>21853.147000000001</v>
      </c>
      <c r="Q81" s="190">
        <v>26364.990185460003</v>
      </c>
      <c r="R81" s="182">
        <v>26548.522389999998</v>
      </c>
      <c r="S81" s="190">
        <v>26576.183678909998</v>
      </c>
      <c r="T81" s="190">
        <v>27943.364509999999</v>
      </c>
      <c r="U81" s="182">
        <v>29514.992389999999</v>
      </c>
      <c r="V81" s="182">
        <v>29923.887390000004</v>
      </c>
      <c r="W81" s="182">
        <v>30348.874200000002</v>
      </c>
      <c r="X81" s="182">
        <v>31138.73199</v>
      </c>
      <c r="Y81" s="182">
        <v>28120.086889999999</v>
      </c>
      <c r="Z81" s="184">
        <v>2574404</v>
      </c>
      <c r="AA81" s="185">
        <v>2521079</v>
      </c>
      <c r="AB81" s="185">
        <v>2575046</v>
      </c>
      <c r="AC81" s="185">
        <v>2596930</v>
      </c>
      <c r="AD81" s="185">
        <v>2613200</v>
      </c>
      <c r="AE81" s="185">
        <v>2631987.0029479703</v>
      </c>
      <c r="AF81" s="185">
        <v>2677649</v>
      </c>
      <c r="AG81" s="185">
        <v>2697966.8439963306</v>
      </c>
      <c r="AH81" s="185">
        <v>2664739.3406597832</v>
      </c>
      <c r="AI81" s="186">
        <v>2669734.504435102</v>
      </c>
      <c r="AJ81" s="185">
        <v>2343002.9447889184</v>
      </c>
      <c r="AK81" s="184">
        <v>661786.52</v>
      </c>
      <c r="AL81" s="185">
        <v>727235</v>
      </c>
      <c r="AM81" s="185">
        <v>662552.86599999992</v>
      </c>
      <c r="AN81" s="185">
        <v>768986</v>
      </c>
      <c r="AO81" s="187">
        <v>683321</v>
      </c>
      <c r="AP81" s="187">
        <v>713542.05299999996</v>
      </c>
      <c r="AQ81" s="185">
        <v>844048</v>
      </c>
      <c r="AR81" s="185">
        <v>851693</v>
      </c>
      <c r="AS81" s="185">
        <v>838950.63800000004</v>
      </c>
      <c r="AT81" s="186">
        <v>882310.39399999997</v>
      </c>
      <c r="AU81" s="185">
        <v>850358.31200000003</v>
      </c>
      <c r="AV81" s="188">
        <f>Z81*Summary!$E$127+Trends!AK81*Summary!$E$128</f>
        <v>27596277.038799997</v>
      </c>
      <c r="AW81" s="186">
        <f>AA81*Summary!$E$127+Trends!AL81*Summary!$E$128</f>
        <v>27831264.549999997</v>
      </c>
      <c r="AX81" s="186">
        <f>AB81*Summary!$E$127+Trends!AM81*Summary!$E$128</f>
        <v>27609286.304539997</v>
      </c>
      <c r="AY81" s="186">
        <f>AC81*Summary!$E$127+Trends!AN81*Summary!$E$128</f>
        <v>28871100.34</v>
      </c>
      <c r="AZ81" s="186">
        <f>AD81*Summary!$E$127+Trends!AO81*Summary!$E$128</f>
        <v>28129960.989999998</v>
      </c>
      <c r="BA81" s="186">
        <f>AE81*Summary!$E$127+Trends!AP81*Summary!$E$128</f>
        <v>28590088.243948556</v>
      </c>
      <c r="BB81" s="186">
        <f>AF81*Summary!$E$127+Trends!AQ81*Summary!$E$128</f>
        <v>30289806.019999996</v>
      </c>
      <c r="BC81" s="186">
        <f>AG81*Summary!$E$127+Trends!AR81*Summary!$E$128</f>
        <v>30532283.106370278</v>
      </c>
      <c r="BD81" s="186">
        <f>AH81*Summary!$E$127+Trends!AS81*Summary!$E$128</f>
        <v>30133295.660564244</v>
      </c>
      <c r="BE81" s="186">
        <f>AI81*Summary!$E$127+Trends!AT81*Summary!$E$128</f>
        <v>30615592.400784325</v>
      </c>
      <c r="BF81" s="186">
        <f>AJ81*Summary!$E$127+Trends!AU81*Summary!$E$128</f>
        <v>27643475.052070238</v>
      </c>
      <c r="BG81" s="188"/>
      <c r="BH81" s="186">
        <f t="shared" si="4"/>
        <v>12480986.688085813</v>
      </c>
      <c r="BI81" s="186">
        <f t="shared" si="5"/>
        <v>14844517.040754767</v>
      </c>
      <c r="BJ81" s="186">
        <f t="shared" si="6"/>
        <v>15646939.785331858</v>
      </c>
      <c r="BK81" s="186">
        <f t="shared" si="7"/>
        <v>14972321.425686039</v>
      </c>
      <c r="BL81" s="186">
        <f t="shared" si="8"/>
        <v>15444892.479707165</v>
      </c>
      <c r="BM81" s="186">
        <f t="shared" si="9"/>
        <v>16387902.726499252</v>
      </c>
      <c r="BN81" s="186">
        <f t="shared" si="10"/>
        <v>16462884.852132142</v>
      </c>
      <c r="BO81" s="186">
        <f t="shared" si="11"/>
        <v>16100362.791376246</v>
      </c>
      <c r="BP81" s="186">
        <f t="shared" si="12"/>
        <v>16453928.92844829</v>
      </c>
      <c r="BQ81" s="189">
        <f t="shared" si="13"/>
        <v>14402582.289473383</v>
      </c>
      <c r="BR81" s="185"/>
    </row>
    <row r="82" spans="3:70" s="109" customFormat="1" hidden="1">
      <c r="C82" s="180" t="s">
        <v>93</v>
      </c>
      <c r="D82" s="181">
        <v>8865.9804845800008</v>
      </c>
      <c r="E82" s="190">
        <v>9002.0480000000007</v>
      </c>
      <c r="F82" s="190">
        <v>9113.4714596699996</v>
      </c>
      <c r="G82" s="190">
        <v>9121.7973699999984</v>
      </c>
      <c r="H82" s="190">
        <v>9225.0406052500002</v>
      </c>
      <c r="I82" s="190">
        <v>9324.3533299999999</v>
      </c>
      <c r="J82" s="190">
        <v>9506.5343200000007</v>
      </c>
      <c r="K82" s="190">
        <v>9642.559369999999</v>
      </c>
      <c r="L82" s="190">
        <v>9719.4061399999991</v>
      </c>
      <c r="M82" s="190">
        <v>9922.3995400000003</v>
      </c>
      <c r="N82" s="190">
        <v>9742.5078699999995</v>
      </c>
      <c r="O82" s="183"/>
      <c r="P82" s="190">
        <v>4464.1000000000004</v>
      </c>
      <c r="Q82" s="190">
        <v>5025.327122484</v>
      </c>
      <c r="R82" s="190">
        <v>6246.8168800000003</v>
      </c>
      <c r="S82" s="190">
        <v>6325.4465259300005</v>
      </c>
      <c r="T82" s="190">
        <v>5129.1170899999997</v>
      </c>
      <c r="U82" s="190">
        <v>5136.9468100000004</v>
      </c>
      <c r="V82" s="190">
        <v>5386.4659099999999</v>
      </c>
      <c r="W82" s="190">
        <v>5431.6484700000001</v>
      </c>
      <c r="X82" s="190">
        <v>5568.5632800000003</v>
      </c>
      <c r="Y82" s="190">
        <v>5480.6773400000002</v>
      </c>
      <c r="Z82" s="184">
        <v>425682</v>
      </c>
      <c r="AA82" s="185">
        <v>430264</v>
      </c>
      <c r="AB82" s="185">
        <v>438532</v>
      </c>
      <c r="AC82" s="185">
        <v>424964</v>
      </c>
      <c r="AD82" s="185">
        <v>444250</v>
      </c>
      <c r="AE82" s="185">
        <v>445461</v>
      </c>
      <c r="AF82" s="185">
        <v>453878</v>
      </c>
      <c r="AG82" s="185">
        <v>449184.30873005674</v>
      </c>
      <c r="AH82" s="185">
        <v>459275.02834730374</v>
      </c>
      <c r="AI82" s="186">
        <v>435582.78842909995</v>
      </c>
      <c r="AJ82" s="185">
        <v>422256.93475127878</v>
      </c>
      <c r="AK82" s="184">
        <v>208181.432</v>
      </c>
      <c r="AL82" s="185">
        <v>208166</v>
      </c>
      <c r="AM82" s="185">
        <v>228318.35</v>
      </c>
      <c r="AN82" s="185">
        <v>218075</v>
      </c>
      <c r="AO82" s="187">
        <v>230563</v>
      </c>
      <c r="AP82" s="187">
        <v>231283</v>
      </c>
      <c r="AQ82" s="185">
        <v>231457</v>
      </c>
      <c r="AR82" s="185">
        <v>237163</v>
      </c>
      <c r="AS82" s="185">
        <v>237856.90900000001</v>
      </c>
      <c r="AT82" s="186">
        <v>240056.818</v>
      </c>
      <c r="AU82" s="185">
        <v>250480.685</v>
      </c>
      <c r="AV82" s="188">
        <f>Z82*Summary!$E$127+Trends!AK82*Summary!$E$128</f>
        <v>5569392.9920799993</v>
      </c>
      <c r="AW82" s="186">
        <f>AA82*Summary!$E$127+Trends!AL82*Summary!$E$128</f>
        <v>5606349.9399999995</v>
      </c>
      <c r="AX82" s="186">
        <f>AB82*Summary!$E$127+Trends!AM82*Summary!$E$128</f>
        <v>5878673.1864999998</v>
      </c>
      <c r="AY82" s="186">
        <f>AC82*Summary!$E$127+Trends!AN82*Summary!$E$128</f>
        <v>5664392.6500000004</v>
      </c>
      <c r="AZ82" s="186">
        <f>AD82*Summary!$E$127+Trends!AO82*Summary!$E$128</f>
        <v>5947861.9699999997</v>
      </c>
      <c r="BA82" s="186">
        <f>AE82*Summary!$E$127+Trends!AP82*Summary!$E$128</f>
        <v>5965007.8699999992</v>
      </c>
      <c r="BB82" s="186">
        <f>AF82*Summary!$E$127+Trends!AQ82*Summary!$E$128</f>
        <v>6034958.6299999999</v>
      </c>
      <c r="BC82" s="186">
        <f>AG82*Summary!$E$127+Trends!AR82*Summary!$E$128</f>
        <v>6055083.8707134593</v>
      </c>
      <c r="BD82" s="186">
        <f>AH82*Summary!$E$127+Trends!AS82*Summary!$E$128</f>
        <v>6143889.6323231608</v>
      </c>
      <c r="BE82" s="186">
        <f>AI82*Summary!$E$127+Trends!AT82*Summary!$E$128</f>
        <v>5974399.5616957098</v>
      </c>
      <c r="BF82" s="186">
        <f>AJ82*Summary!$E$127+Trends!AU82*Summary!$E$128</f>
        <v>5972679.3516353574</v>
      </c>
      <c r="BG82" s="188"/>
      <c r="BH82" s="186">
        <f t="shared" si="4"/>
        <v>2780179.2177906623</v>
      </c>
      <c r="BI82" s="186">
        <f t="shared" si="5"/>
        <v>3241602.932435981</v>
      </c>
      <c r="BJ82" s="186">
        <f t="shared" si="6"/>
        <v>3879106.5165886204</v>
      </c>
      <c r="BK82" s="186">
        <f t="shared" si="7"/>
        <v>4078343.3314576806</v>
      </c>
      <c r="BL82" s="186">
        <f t="shared" si="8"/>
        <v>3281216.6940912665</v>
      </c>
      <c r="BM82" s="186">
        <f t="shared" si="9"/>
        <v>3261047.6583079826</v>
      </c>
      <c r="BN82" s="186">
        <f t="shared" si="10"/>
        <v>3382452.8945357064</v>
      </c>
      <c r="BO82" s="186">
        <f t="shared" si="11"/>
        <v>3433486.3921281677</v>
      </c>
      <c r="BP82" s="186">
        <f t="shared" si="12"/>
        <v>3352900.8668911983</v>
      </c>
      <c r="BQ82" s="189">
        <f t="shared" si="13"/>
        <v>3359948.8774745837</v>
      </c>
      <c r="BR82" s="185"/>
    </row>
    <row r="83" spans="3:70" s="109" customFormat="1" hidden="1">
      <c r="C83" s="180" t="s">
        <v>94</v>
      </c>
      <c r="D83" s="181">
        <v>70438.824331399999</v>
      </c>
      <c r="E83" s="190">
        <v>70751.104000000007</v>
      </c>
      <c r="F83" s="190">
        <v>71166.871193159997</v>
      </c>
      <c r="G83" s="190">
        <v>71067.043619999997</v>
      </c>
      <c r="H83" s="190">
        <v>72335.754249949998</v>
      </c>
      <c r="I83" s="190">
        <v>76670.318400000004</v>
      </c>
      <c r="J83" s="190">
        <v>76883.747380000001</v>
      </c>
      <c r="K83" s="190">
        <v>82253.263959999997</v>
      </c>
      <c r="L83" s="190">
        <v>81321.490969999984</v>
      </c>
      <c r="M83" s="190">
        <v>82891.770850000001</v>
      </c>
      <c r="N83" s="190">
        <v>76392.47494</v>
      </c>
      <c r="O83" s="183"/>
      <c r="P83" s="190">
        <v>31941.523000000001</v>
      </c>
      <c r="Q83" s="190">
        <v>38934.95001144</v>
      </c>
      <c r="R83" s="190">
        <v>39093.403939999997</v>
      </c>
      <c r="S83" s="190">
        <v>39524.516797349999</v>
      </c>
      <c r="T83" s="190">
        <v>41185.861259999998</v>
      </c>
      <c r="U83" s="190">
        <v>42836.813609999997</v>
      </c>
      <c r="V83" s="190">
        <v>44213.975379999996</v>
      </c>
      <c r="W83" s="190">
        <v>44715.671329999997</v>
      </c>
      <c r="X83" s="190">
        <v>45901.866720000005</v>
      </c>
      <c r="Y83" s="190">
        <v>41315.188750000001</v>
      </c>
      <c r="Z83" s="184">
        <v>3147249</v>
      </c>
      <c r="AA83" s="185">
        <v>3127071</v>
      </c>
      <c r="AB83" s="185">
        <v>3074272</v>
      </c>
      <c r="AC83" s="185">
        <v>3074564</v>
      </c>
      <c r="AD83" s="185">
        <v>3177752</v>
      </c>
      <c r="AE83" s="185">
        <v>3110220</v>
      </c>
      <c r="AF83" s="185">
        <v>3256497</v>
      </c>
      <c r="AG83" s="185">
        <v>3273591.9497297658</v>
      </c>
      <c r="AH83" s="185">
        <v>3284363.4782607141</v>
      </c>
      <c r="AI83" s="186">
        <v>3278392.7909470773</v>
      </c>
      <c r="AJ83" s="185">
        <v>2986013.7668882506</v>
      </c>
      <c r="AK83" s="184">
        <v>892254.26099999994</v>
      </c>
      <c r="AL83" s="185">
        <v>895240</v>
      </c>
      <c r="AM83" s="185">
        <v>882947.12300000002</v>
      </c>
      <c r="AN83" s="185">
        <v>885570</v>
      </c>
      <c r="AO83" s="187">
        <v>929240</v>
      </c>
      <c r="AP83" s="187">
        <v>979997</v>
      </c>
      <c r="AQ83" s="185">
        <v>969256</v>
      </c>
      <c r="AR83" s="185">
        <v>993626</v>
      </c>
      <c r="AS83" s="185">
        <v>1032616.236</v>
      </c>
      <c r="AT83" s="186">
        <v>1130885.0830000001</v>
      </c>
      <c r="AU83" s="185">
        <v>1056371.4040000001</v>
      </c>
      <c r="AV83" s="188">
        <f>Z83*Summary!$E$127+Trends!AK83*Summary!$E$128</f>
        <v>34584787.819589995</v>
      </c>
      <c r="AW83" s="186">
        <f>AA83*Summary!$E$127+Trends!AL83*Summary!$E$128</f>
        <v>34451770.699999996</v>
      </c>
      <c r="AX83" s="186">
        <f>AB83*Summary!$E$127+Trends!AM83*Summary!$E$128</f>
        <v>33898834.383369997</v>
      </c>
      <c r="AY83" s="186">
        <f>AC83*Summary!$E$127+Trends!AN83*Summary!$E$128</f>
        <v>33927926.699999996</v>
      </c>
      <c r="AZ83" s="186">
        <f>AD83*Summary!$E$127+Trends!AO83*Summary!$E$128</f>
        <v>35208746.799999997</v>
      </c>
      <c r="BA83" s="186">
        <f>AE83*Summary!$E$127+Trends!AP83*Summary!$E$128</f>
        <v>35178951.43</v>
      </c>
      <c r="BB83" s="186">
        <f>AF83*Summary!$E$127+Trends!AQ83*Summary!$E$128</f>
        <v>36254344.339999996</v>
      </c>
      <c r="BC83" s="186">
        <f>AG83*Summary!$E$127+Trends!AR83*Summary!$E$128</f>
        <v>36641143.732811101</v>
      </c>
      <c r="BD83" s="186">
        <f>AH83*Summary!$E$127+Trends!AS83*Summary!$E$128</f>
        <v>37125703.618751779</v>
      </c>
      <c r="BE83" s="186">
        <f>AI83*Summary!$E$127+Trends!AT83*Summary!$E$128</f>
        <v>38078700.602441326</v>
      </c>
      <c r="BF83" s="186">
        <f>AJ83*Summary!$E$127+Trends!AU83*Summary!$E$128</f>
        <v>34951136.118554831</v>
      </c>
      <c r="BG83" s="188"/>
      <c r="BH83" s="186">
        <f t="shared" si="4"/>
        <v>15553708.196620872</v>
      </c>
      <c r="BI83" s="186">
        <f t="shared" si="5"/>
        <v>18545840.220799927</v>
      </c>
      <c r="BJ83" s="186">
        <f t="shared" si="6"/>
        <v>18663477.130439423</v>
      </c>
      <c r="BK83" s="186">
        <f t="shared" si="7"/>
        <v>19238186.132706355</v>
      </c>
      <c r="BL83" s="186">
        <f t="shared" si="8"/>
        <v>18897474.83908008</v>
      </c>
      <c r="BM83" s="186">
        <f t="shared" si="9"/>
        <v>20199595.414743401</v>
      </c>
      <c r="BN83" s="186">
        <f t="shared" si="10"/>
        <v>19695882.557139456</v>
      </c>
      <c r="BO83" s="186">
        <f t="shared" si="11"/>
        <v>20414047.27224588</v>
      </c>
      <c r="BP83" s="186">
        <f t="shared" si="12"/>
        <v>21086332.479094885</v>
      </c>
      <c r="BQ83" s="189">
        <f t="shared" si="13"/>
        <v>18902552.730477553</v>
      </c>
      <c r="BR83" s="185"/>
    </row>
    <row r="84" spans="3:70" s="109" customFormat="1" hidden="1">
      <c r="C84" s="180" t="s">
        <v>95</v>
      </c>
      <c r="D84" s="181">
        <v>234015.90603753997</v>
      </c>
      <c r="E84" s="190">
        <v>237439.891</v>
      </c>
      <c r="F84" s="190">
        <v>237835.82274436203</v>
      </c>
      <c r="G84" s="190">
        <v>244524.88287</v>
      </c>
      <c r="H84" s="190">
        <v>243075.845833995</v>
      </c>
      <c r="I84" s="190">
        <v>258122.30916</v>
      </c>
      <c r="J84" s="190">
        <v>271262.83827000001</v>
      </c>
      <c r="K84" s="190">
        <v>272980.90705000004</v>
      </c>
      <c r="L84" s="190">
        <v>282037.26510000002</v>
      </c>
      <c r="M84" s="190">
        <v>288227.23553999997</v>
      </c>
      <c r="N84" s="190">
        <v>260581.95545000001</v>
      </c>
      <c r="O84" s="183"/>
      <c r="P84" s="190">
        <v>124183.899</v>
      </c>
      <c r="Q84" s="190">
        <v>144533.82572205001</v>
      </c>
      <c r="R84" s="190">
        <v>148716.91581999999</v>
      </c>
      <c r="S84" s="190">
        <v>145711.00140996499</v>
      </c>
      <c r="T84" s="190">
        <v>155175.13608000003</v>
      </c>
      <c r="U84" s="190">
        <v>162394.72015000001</v>
      </c>
      <c r="V84" s="190">
        <v>162674.29727000001</v>
      </c>
      <c r="W84" s="190">
        <v>167341.42780999999</v>
      </c>
      <c r="X84" s="190">
        <v>170390.14045000001</v>
      </c>
      <c r="Y84" s="190">
        <v>151148.14751000001</v>
      </c>
      <c r="Z84" s="184">
        <v>12000186</v>
      </c>
      <c r="AA84" s="185">
        <v>11921633</v>
      </c>
      <c r="AB84" s="185">
        <v>12143805</v>
      </c>
      <c r="AC84" s="185">
        <v>12322995</v>
      </c>
      <c r="AD84" s="185">
        <v>13083117</v>
      </c>
      <c r="AE84" s="185">
        <v>13254716</v>
      </c>
      <c r="AF84" s="185">
        <v>13702557</v>
      </c>
      <c r="AG84" s="185">
        <v>13800889.00542099</v>
      </c>
      <c r="AH84" s="185">
        <v>14163363.654267501</v>
      </c>
      <c r="AI84" s="186">
        <v>14271916.891354669</v>
      </c>
      <c r="AJ84" s="185">
        <v>12291098.130312741</v>
      </c>
      <c r="AK84" s="184">
        <v>3926485.8870000001</v>
      </c>
      <c r="AL84" s="185">
        <v>4208399</v>
      </c>
      <c r="AM84" s="185">
        <v>4437816.8679999998</v>
      </c>
      <c r="AN84" s="185">
        <v>4741110</v>
      </c>
      <c r="AO84" s="187">
        <v>5295548</v>
      </c>
      <c r="AP84" s="187">
        <v>5214849</v>
      </c>
      <c r="AQ84" s="185">
        <v>5329829</v>
      </c>
      <c r="AR84" s="185">
        <v>5588720</v>
      </c>
      <c r="AS84" s="185">
        <v>5910619.3229999999</v>
      </c>
      <c r="AT84" s="186">
        <v>5982284.5379999997</v>
      </c>
      <c r="AU84" s="185">
        <v>5411858.8459999999</v>
      </c>
      <c r="AV84" s="188">
        <f>Z84*Summary!$E$127+Trends!AK84*Summary!$E$128</f>
        <v>137212397.78852999</v>
      </c>
      <c r="AW84" s="186">
        <f>AA84*Summary!$E$127+Trends!AL84*Summary!$E$128</f>
        <v>139448813.10999998</v>
      </c>
      <c r="AX84" s="186">
        <f>AB84*Summary!$E$127+Trends!AM84*Summary!$E$128</f>
        <v>143586174.38492</v>
      </c>
      <c r="AY84" s="186">
        <f>AC84*Summary!$E$127+Trends!AN84*Summary!$E$128</f>
        <v>148128170.40000001</v>
      </c>
      <c r="AZ84" s="186">
        <f>AD84*Summary!$E$127+Trends!AO84*Summary!$E$128</f>
        <v>159934881.81999999</v>
      </c>
      <c r="BA84" s="186">
        <f>AE84*Summary!$E$127+Trends!AP84*Summary!$E$128</f>
        <v>160502510.91</v>
      </c>
      <c r="BB84" s="186">
        <f>AF84*Summary!$E$127+Trends!AQ84*Summary!$E$128</f>
        <v>165301669.20999998</v>
      </c>
      <c r="BC84" s="186">
        <f>AG84*Summary!$E$127+Trends!AR84*Summary!$E$128</f>
        <v>168736257.74391001</v>
      </c>
      <c r="BD84" s="186">
        <f>AH84*Summary!$E$127+Trends!AS84*Summary!$E$128</f>
        <v>174952456.50093675</v>
      </c>
      <c r="BE84" s="186">
        <f>AI84*Summary!$E$127+Trends!AT84*Summary!$E$128</f>
        <v>176562006.26219282</v>
      </c>
      <c r="BF84" s="186">
        <f>AJ84*Summary!$E$127+Trends!AU84*Summary!$E$128</f>
        <v>154704736.49627319</v>
      </c>
      <c r="BG84" s="188"/>
      <c r="BH84" s="186">
        <f t="shared" si="4"/>
        <v>72933394.847802192</v>
      </c>
      <c r="BI84" s="186">
        <f t="shared" si="5"/>
        <v>87257919.623623505</v>
      </c>
      <c r="BJ84" s="186">
        <f t="shared" si="6"/>
        <v>90089664.452100247</v>
      </c>
      <c r="BK84" s="186">
        <f t="shared" si="7"/>
        <v>95872429.078337565</v>
      </c>
      <c r="BL84" s="186">
        <f t="shared" si="8"/>
        <v>96489137.46623379</v>
      </c>
      <c r="BM84" s="186">
        <f t="shared" si="9"/>
        <v>98959807.701218084</v>
      </c>
      <c r="BN84" s="186">
        <f t="shared" si="10"/>
        <v>100553011.01125181</v>
      </c>
      <c r="BO84" s="186">
        <f t="shared" si="11"/>
        <v>103804700.62831306</v>
      </c>
      <c r="BP84" s="186">
        <f t="shared" si="12"/>
        <v>104377454.09029441</v>
      </c>
      <c r="BQ84" s="189">
        <f t="shared" si="13"/>
        <v>89735048.200300783</v>
      </c>
      <c r="BR84" s="185"/>
    </row>
    <row r="85" spans="3:70" s="109" customFormat="1" hidden="1">
      <c r="C85" s="180" t="s">
        <v>96</v>
      </c>
      <c r="D85" s="181">
        <v>26585.222151280002</v>
      </c>
      <c r="E85" s="190">
        <v>26221.627</v>
      </c>
      <c r="F85" s="190">
        <v>26527.834357205997</v>
      </c>
      <c r="G85" s="182">
        <v>27005.47608</v>
      </c>
      <c r="H85" s="190">
        <v>27554.419294880001</v>
      </c>
      <c r="I85" s="190">
        <v>29603.663499999999</v>
      </c>
      <c r="J85" s="182">
        <v>31448.897059999996</v>
      </c>
      <c r="K85" s="182">
        <v>31475.025710000002</v>
      </c>
      <c r="L85" s="182">
        <v>32069.287909999999</v>
      </c>
      <c r="M85" s="182">
        <v>32910.67512</v>
      </c>
      <c r="N85" s="182">
        <v>30251.18348</v>
      </c>
      <c r="O85" s="183"/>
      <c r="P85" s="190">
        <v>13401.632</v>
      </c>
      <c r="Q85" s="190">
        <v>15622.697308217999</v>
      </c>
      <c r="R85" s="182">
        <v>16360.439249999999</v>
      </c>
      <c r="S85" s="190">
        <v>16918.09643537</v>
      </c>
      <c r="T85" s="190">
        <v>18487.80284</v>
      </c>
      <c r="U85" s="182">
        <v>19566.703539999999</v>
      </c>
      <c r="V85" s="182">
        <v>19339.43146</v>
      </c>
      <c r="W85" s="182">
        <v>19768.528419999999</v>
      </c>
      <c r="X85" s="182">
        <v>20151.57675</v>
      </c>
      <c r="Y85" s="182">
        <v>18292.448990000001</v>
      </c>
      <c r="Z85" s="184">
        <v>1012192</v>
      </c>
      <c r="AA85" s="185">
        <v>1053856</v>
      </c>
      <c r="AB85" s="185">
        <v>1036479</v>
      </c>
      <c r="AC85" s="185">
        <v>1057660</v>
      </c>
      <c r="AD85" s="185">
        <v>1092209</v>
      </c>
      <c r="AE85" s="185">
        <v>1099285</v>
      </c>
      <c r="AF85" s="185">
        <v>1135463</v>
      </c>
      <c r="AG85" s="185">
        <v>1145082.4468243031</v>
      </c>
      <c r="AH85" s="185">
        <v>1172874.7557387464</v>
      </c>
      <c r="AI85" s="186">
        <v>1190444.0499221941</v>
      </c>
      <c r="AJ85" s="185">
        <v>1099324.7446923251</v>
      </c>
      <c r="AK85" s="184">
        <v>412611.69299999997</v>
      </c>
      <c r="AL85" s="185">
        <v>485580</v>
      </c>
      <c r="AM85" s="185">
        <v>474412.603</v>
      </c>
      <c r="AN85" s="185">
        <v>478575</v>
      </c>
      <c r="AO85" s="187">
        <v>455006</v>
      </c>
      <c r="AP85" s="187">
        <v>491194</v>
      </c>
      <c r="AQ85" s="185">
        <v>474173</v>
      </c>
      <c r="AR85" s="185">
        <v>500418</v>
      </c>
      <c r="AS85" s="185">
        <v>498987.75900000002</v>
      </c>
      <c r="AT85" s="186">
        <v>483312.054</v>
      </c>
      <c r="AU85" s="185">
        <v>529191.48199999996</v>
      </c>
      <c r="AV85" s="188">
        <f>Z85*Summary!$E$127+Trends!AK85*Summary!$E$128</f>
        <v>12403268.351669999</v>
      </c>
      <c r="AW85" s="186">
        <f>AA85*Summary!$E$127+Trends!AL85*Summary!$E$128</f>
        <v>13484293.800000001</v>
      </c>
      <c r="AX85" s="186">
        <f>AB85*Summary!$E$127+Trends!AM85*Summary!$E$128</f>
        <v>13229744.32457</v>
      </c>
      <c r="AY85" s="186">
        <f>AC85*Summary!$E$127+Trends!AN85*Summary!$E$128</f>
        <v>13443725.25</v>
      </c>
      <c r="AZ85" s="186">
        <f>AD85*Summary!$E$127+Trends!AO85*Summary!$E$128</f>
        <v>13483404.039999999</v>
      </c>
      <c r="BA85" s="186">
        <f>AE85*Summary!$E$127+Trends!AP85*Summary!$E$128</f>
        <v>13909475.359999999</v>
      </c>
      <c r="BB85" s="186">
        <f>AF85*Summary!$E$127+Trends!AQ85*Summary!$E$128</f>
        <v>14029073.169999998</v>
      </c>
      <c r="BC85" s="186">
        <f>AG85*Summary!$E$127+Trends!AR85*Summary!$E$128</f>
        <v>14374427.239276854</v>
      </c>
      <c r="BD85" s="186">
        <f>AH85*Summary!$E$127+Trends!AS85*Summary!$E$128</f>
        <v>14584970.785693847</v>
      </c>
      <c r="BE85" s="186">
        <f>AI85*Summary!$E$127+Trends!AT85*Summary!$E$128</f>
        <v>14567546.634629771</v>
      </c>
      <c r="BF85" s="186">
        <f>AJ85*Summary!$E$127+Trends!AU85*Summary!$E$128</f>
        <v>14296991.633587832</v>
      </c>
      <c r="BG85" s="188"/>
      <c r="BH85" s="186">
        <f t="shared" si="4"/>
        <v>6891698.3407429904</v>
      </c>
      <c r="BI85" s="186">
        <f t="shared" si="5"/>
        <v>7791223.6733990526</v>
      </c>
      <c r="BJ85" s="186">
        <f t="shared" si="6"/>
        <v>8144468.5364834359</v>
      </c>
      <c r="BK85" s="186">
        <f t="shared" si="7"/>
        <v>8278654.9549300112</v>
      </c>
      <c r="BL85" s="186">
        <f t="shared" si="8"/>
        <v>8686615.3597347178</v>
      </c>
      <c r="BM85" s="186">
        <f t="shared" si="9"/>
        <v>8728532.3594861235</v>
      </c>
      <c r="BN85" s="186">
        <f t="shared" si="10"/>
        <v>8832185.0133526623</v>
      </c>
      <c r="BO85" s="186">
        <f t="shared" si="11"/>
        <v>8990639.5892236866</v>
      </c>
      <c r="BP85" s="186">
        <f t="shared" si="12"/>
        <v>8919872.7463524006</v>
      </c>
      <c r="BQ85" s="189">
        <f t="shared" si="13"/>
        <v>8645182.1080244947</v>
      </c>
      <c r="BR85" s="185"/>
    </row>
    <row r="86" spans="3:70" s="109" customFormat="1" hidden="1">
      <c r="C86" s="180" t="s">
        <v>97</v>
      </c>
      <c r="D86" s="181">
        <v>7247.5558400499995</v>
      </c>
      <c r="E86" s="190">
        <v>7141.0389999999998</v>
      </c>
      <c r="F86" s="190">
        <v>7215.657792</v>
      </c>
      <c r="G86" s="190">
        <v>7115.8770500000001</v>
      </c>
      <c r="H86" s="190">
        <v>7059.2007838000009</v>
      </c>
      <c r="I86" s="190">
        <v>7313.8418499999998</v>
      </c>
      <c r="J86" s="190">
        <v>7381.8901000000005</v>
      </c>
      <c r="K86" s="190">
        <v>7424.4198899999992</v>
      </c>
      <c r="L86" s="190">
        <v>7346.3501800000004</v>
      </c>
      <c r="M86" s="190">
        <v>7345.6269200000006</v>
      </c>
      <c r="N86" s="190">
        <v>6006.9750999999997</v>
      </c>
      <c r="O86" s="183"/>
      <c r="P86" s="190">
        <v>2600.5419999999999</v>
      </c>
      <c r="Q86" s="190">
        <v>2803.1094210600004</v>
      </c>
      <c r="R86" s="190">
        <v>2796.7107299999998</v>
      </c>
      <c r="S86" s="190">
        <v>2805.9710654</v>
      </c>
      <c r="T86" s="190">
        <v>3009.0507600000001</v>
      </c>
      <c r="U86" s="190">
        <v>2952.6662100000003</v>
      </c>
      <c r="V86" s="190">
        <v>3036.6900999999998</v>
      </c>
      <c r="W86" s="190">
        <v>2935.3013500000002</v>
      </c>
      <c r="X86" s="190">
        <v>2927.6719200000002</v>
      </c>
      <c r="Y86" s="190">
        <v>2274.2525000000001</v>
      </c>
      <c r="Z86" s="184">
        <v>321269</v>
      </c>
      <c r="AA86" s="185">
        <v>313391</v>
      </c>
      <c r="AB86" s="185">
        <v>307001</v>
      </c>
      <c r="AC86" s="185">
        <v>309327</v>
      </c>
      <c r="AD86" s="185">
        <v>307554</v>
      </c>
      <c r="AE86" s="185">
        <v>292200</v>
      </c>
      <c r="AF86" s="185">
        <v>293184</v>
      </c>
      <c r="AG86" s="185">
        <v>292626.90288684162</v>
      </c>
      <c r="AH86" s="185">
        <v>270997.96974445111</v>
      </c>
      <c r="AI86" s="186">
        <v>288944.51131115732</v>
      </c>
      <c r="AJ86" s="185">
        <v>236700.90717185897</v>
      </c>
      <c r="AK86" s="184">
        <v>59163.609000000011</v>
      </c>
      <c r="AL86" s="185">
        <v>58774</v>
      </c>
      <c r="AM86" s="185">
        <v>59989.771000000008</v>
      </c>
      <c r="AN86" s="185">
        <v>59999</v>
      </c>
      <c r="AO86" s="187">
        <v>58354</v>
      </c>
      <c r="AP86" s="187">
        <v>70487</v>
      </c>
      <c r="AQ86" s="185">
        <v>71834</v>
      </c>
      <c r="AR86" s="185">
        <v>71457</v>
      </c>
      <c r="AS86" s="185">
        <v>72795.884999999995</v>
      </c>
      <c r="AT86" s="186">
        <v>71597.596000000005</v>
      </c>
      <c r="AU86" s="185">
        <v>64128.224999999999</v>
      </c>
      <c r="AV86" s="188">
        <f>Z86*Summary!$E$127+Trends!AK86*Summary!$E$128</f>
        <v>3205156.07571</v>
      </c>
      <c r="AW86" s="186">
        <f>AA86*Summary!$E$127+Trends!AL86*Summary!$E$128</f>
        <v>3137374.16</v>
      </c>
      <c r="AX86" s="186">
        <f>AB86*Summary!$E$127+Trends!AM86*Summary!$E$128</f>
        <v>3098003.8664899999</v>
      </c>
      <c r="AY86" s="186">
        <f>AC86*Summary!$E$127+Trends!AN86*Summary!$E$128</f>
        <v>3116938.51</v>
      </c>
      <c r="AZ86" s="186">
        <f>AD86*Summary!$E$127+Trends!AO86*Summary!$E$128</f>
        <v>3085814.66</v>
      </c>
      <c r="BA86" s="186">
        <f>AE86*Summary!$E$127+Trends!AP86*Summary!$E$128</f>
        <v>3085082.53</v>
      </c>
      <c r="BB86" s="186">
        <f>AF86*Summary!$E$127+Trends!AQ86*Summary!$E$128</f>
        <v>3106778.86</v>
      </c>
      <c r="BC86" s="186">
        <f>AG86*Summary!$E$127+Trends!AR86*Summary!$E$128</f>
        <v>3098424.7433834169</v>
      </c>
      <c r="BD86" s="186">
        <f>AH86*Summary!$E$127+Trends!AS86*Summary!$E$128</f>
        <v>2936873.6230800543</v>
      </c>
      <c r="BE86" s="186">
        <f>AI86*Summary!$E$127+Trends!AT86*Summary!$E$128</f>
        <v>3070030.0448603742</v>
      </c>
      <c r="BF86" s="186">
        <f>AJ86*Summary!$E$127+Trends!AU86*Summary!$E$128</f>
        <v>2570743.9608420576</v>
      </c>
      <c r="BG86" s="188"/>
      <c r="BH86" s="186">
        <f t="shared" si="4"/>
        <v>1142533.0785610778</v>
      </c>
      <c r="BI86" s="186">
        <f t="shared" si="5"/>
        <v>1203499.9545386459</v>
      </c>
      <c r="BJ86" s="186">
        <f t="shared" si="6"/>
        <v>1225031.7584769416</v>
      </c>
      <c r="BK86" s="186">
        <f t="shared" si="7"/>
        <v>1226584.5545883619</v>
      </c>
      <c r="BL86" s="186">
        <f t="shared" si="8"/>
        <v>1269260.4136031768</v>
      </c>
      <c r="BM86" s="186">
        <f t="shared" si="9"/>
        <v>1242673.7377009068</v>
      </c>
      <c r="BN86" s="186">
        <f t="shared" si="10"/>
        <v>1267298.4399091499</v>
      </c>
      <c r="BO86" s="186">
        <f t="shared" si="11"/>
        <v>1173454.6951049746</v>
      </c>
      <c r="BP86" s="186">
        <f t="shared" si="12"/>
        <v>1223590.6960401493</v>
      </c>
      <c r="BQ86" s="189">
        <f t="shared" si="13"/>
        <v>973288.68231948419</v>
      </c>
      <c r="BR86" s="185"/>
    </row>
    <row r="87" spans="3:70" s="109" customFormat="1" hidden="1">
      <c r="C87" s="180" t="s">
        <v>98</v>
      </c>
      <c r="D87" s="181">
        <v>82170.61427630001</v>
      </c>
      <c r="E87" s="190">
        <v>80973.991999999998</v>
      </c>
      <c r="F87" s="190">
        <v>80958.667786955994</v>
      </c>
      <c r="G87" s="190">
        <v>80767.006420000005</v>
      </c>
      <c r="H87" s="190">
        <v>80984.636139250011</v>
      </c>
      <c r="I87" s="190">
        <v>82624.527639999986</v>
      </c>
      <c r="J87" s="190">
        <v>84462.67160999999</v>
      </c>
      <c r="K87" s="190">
        <v>85262.944940000016</v>
      </c>
      <c r="L87" s="190">
        <v>85336.10205999999</v>
      </c>
      <c r="M87" s="190">
        <v>85432.484160000007</v>
      </c>
      <c r="N87" s="190">
        <v>76110.269230000005</v>
      </c>
      <c r="O87" s="183"/>
      <c r="P87" s="190">
        <v>42237.728999999999</v>
      </c>
      <c r="Q87" s="190">
        <v>46323.138681611999</v>
      </c>
      <c r="R87" s="190">
        <v>46261.848119999995</v>
      </c>
      <c r="S87" s="190">
        <v>46452.359625500001</v>
      </c>
      <c r="T87" s="190">
        <v>50077.022069999992</v>
      </c>
      <c r="U87" s="190">
        <v>51460.887920000001</v>
      </c>
      <c r="V87" s="190">
        <v>52041.549790000005</v>
      </c>
      <c r="W87" s="190">
        <v>51780.540500000003</v>
      </c>
      <c r="X87" s="190">
        <v>52025.025210000007</v>
      </c>
      <c r="Y87" s="190">
        <v>46327.17785</v>
      </c>
      <c r="Z87" s="184">
        <v>3966279</v>
      </c>
      <c r="AA87" s="185">
        <v>3745606</v>
      </c>
      <c r="AB87" s="185">
        <v>3863108</v>
      </c>
      <c r="AC87" s="185">
        <v>3821222</v>
      </c>
      <c r="AD87" s="185">
        <v>3942942</v>
      </c>
      <c r="AE87" s="185">
        <v>3815962</v>
      </c>
      <c r="AF87" s="185">
        <v>3895558</v>
      </c>
      <c r="AG87" s="185">
        <v>3916796.0579544157</v>
      </c>
      <c r="AH87" s="185">
        <v>3946059.0985499946</v>
      </c>
      <c r="AI87" s="186">
        <v>3919440</v>
      </c>
      <c r="AJ87" s="193">
        <v>3497571.516147045</v>
      </c>
      <c r="AK87" s="184">
        <v>1001112.345</v>
      </c>
      <c r="AL87" s="185">
        <v>946662</v>
      </c>
      <c r="AM87" s="185">
        <v>1003684.48</v>
      </c>
      <c r="AN87" s="185">
        <v>1004678</v>
      </c>
      <c r="AO87" s="187">
        <v>1015403</v>
      </c>
      <c r="AP87" s="187">
        <v>1012511</v>
      </c>
      <c r="AQ87" s="185">
        <v>1043522</v>
      </c>
      <c r="AR87" s="185">
        <v>1050072</v>
      </c>
      <c r="AS87" s="185">
        <v>1097756.121</v>
      </c>
      <c r="AT87" s="186">
        <v>1043447</v>
      </c>
      <c r="AU87" s="185">
        <v>1132225.2420000001</v>
      </c>
      <c r="AV87" s="188">
        <f>Z87*Summary!$E$127+Trends!AK87*Summary!$E$128</f>
        <v>42328194.695549995</v>
      </c>
      <c r="AW87" s="186">
        <f>AA87*Summary!$E$127+Trends!AL87*Summary!$E$128</f>
        <v>39985894.379999995</v>
      </c>
      <c r="AX87" s="186">
        <f>AB87*Summary!$E$127+Trends!AM87*Summary!$E$128</f>
        <v>41518719.651199996</v>
      </c>
      <c r="AY87" s="186">
        <f>AC87*Summary!$E$127+Trends!AN87*Summary!$E$128</f>
        <v>41189567.019999996</v>
      </c>
      <c r="AZ87" s="186">
        <f>AD87*Summary!$E$127+Trends!AO87*Summary!$E$128</f>
        <v>42284786.769999996</v>
      </c>
      <c r="BA87" s="186">
        <f>AE87*Summary!$E$127+Trends!AP87*Summary!$E$128</f>
        <v>41226779.289999999</v>
      </c>
      <c r="BB87" s="186">
        <f>AF87*Summary!$E$127+Trends!AQ87*Summary!$E$128</f>
        <v>42187508.979999997</v>
      </c>
      <c r="BC87" s="186">
        <f>AG87*Summary!$E$127+Trends!AR87*Summary!$E$128</f>
        <v>42426281.749430761</v>
      </c>
      <c r="BD87" s="186">
        <f>AH87*Summary!$E$127+Trends!AS87*Summary!$E$128</f>
        <v>43149213.571244955</v>
      </c>
      <c r="BE87" s="186">
        <f>AI87*Summary!$E$127+Trends!AT87*Summary!$E$128</f>
        <v>42380188.93</v>
      </c>
      <c r="BF87" s="186">
        <f>AJ87*Summary!$E$127+Trends!AU87*Summary!$E$128</f>
        <v>39867704.496771067</v>
      </c>
      <c r="BG87" s="188"/>
      <c r="BH87" s="186">
        <f t="shared" si="4"/>
        <v>20857479.407030627</v>
      </c>
      <c r="BI87" s="186">
        <f t="shared" si="5"/>
        <v>23756287.755952723</v>
      </c>
      <c r="BJ87" s="186">
        <f t="shared" si="6"/>
        <v>23592622.508489408</v>
      </c>
      <c r="BK87" s="186">
        <f t="shared" si="7"/>
        <v>24254330.393609583</v>
      </c>
      <c r="BL87" s="186">
        <f t="shared" si="8"/>
        <v>24986700.624487214</v>
      </c>
      <c r="BM87" s="186">
        <f t="shared" si="9"/>
        <v>25703741.426369186</v>
      </c>
      <c r="BN87" s="186">
        <f t="shared" si="10"/>
        <v>25895533.582862999</v>
      </c>
      <c r="BO87" s="186">
        <f t="shared" si="11"/>
        <v>26182231.751083091</v>
      </c>
      <c r="BP87" s="186">
        <f t="shared" si="12"/>
        <v>25807869.444116287</v>
      </c>
      <c r="BQ87" s="189">
        <f t="shared" si="13"/>
        <v>24266872.990710057</v>
      </c>
      <c r="BR87" s="185"/>
    </row>
    <row r="88" spans="3:70" s="109" customFormat="1" hidden="1">
      <c r="C88" s="180" t="s">
        <v>99</v>
      </c>
      <c r="D88" s="181">
        <v>57190.44282353</v>
      </c>
      <c r="E88" s="190">
        <v>56954.572999999997</v>
      </c>
      <c r="F88" s="190">
        <v>56762.006211755986</v>
      </c>
      <c r="G88" s="190">
        <v>57211.207009999998</v>
      </c>
      <c r="H88" s="190">
        <v>58059.799998365001</v>
      </c>
      <c r="I88" s="190">
        <v>59652.504250000005</v>
      </c>
      <c r="J88" s="190">
        <v>61017.810940000003</v>
      </c>
      <c r="K88" s="190">
        <v>61419.924869999995</v>
      </c>
      <c r="L88" s="190">
        <v>62366.656139999999</v>
      </c>
      <c r="M88" s="190">
        <v>62529.638340000005</v>
      </c>
      <c r="N88" s="190">
        <v>53658.241300000002</v>
      </c>
      <c r="O88" s="183"/>
      <c r="P88" s="190">
        <v>26284.812000000002</v>
      </c>
      <c r="Q88" s="190">
        <v>33715.219039361997</v>
      </c>
      <c r="R88" s="190">
        <v>33937.162230000002</v>
      </c>
      <c r="S88" s="190">
        <v>34611.282576705002</v>
      </c>
      <c r="T88" s="190">
        <v>35650.480370000005</v>
      </c>
      <c r="U88" s="190">
        <v>36651.364690000002</v>
      </c>
      <c r="V88" s="190">
        <v>36964.73184</v>
      </c>
      <c r="W88" s="190">
        <v>37644.782890000002</v>
      </c>
      <c r="X88" s="190">
        <v>37728.777950000003</v>
      </c>
      <c r="Y88" s="190">
        <v>31964.263579999999</v>
      </c>
      <c r="Z88" s="184">
        <v>2591748</v>
      </c>
      <c r="AA88" s="185">
        <v>2590788</v>
      </c>
      <c r="AB88" s="185">
        <v>2585353</v>
      </c>
      <c r="AC88" s="185">
        <v>2624657</v>
      </c>
      <c r="AD88" s="185">
        <v>2672936</v>
      </c>
      <c r="AE88" s="185">
        <v>2659870</v>
      </c>
      <c r="AF88" s="185">
        <v>2661257</v>
      </c>
      <c r="AG88" s="185">
        <v>2669228.3980045258</v>
      </c>
      <c r="AH88" s="185">
        <v>2794391.7002208591</v>
      </c>
      <c r="AI88" s="186">
        <v>2811429.8765249313</v>
      </c>
      <c r="AJ88" s="185">
        <v>2187989.1933863154</v>
      </c>
      <c r="AK88" s="184">
        <v>629631</v>
      </c>
      <c r="AL88" s="185">
        <v>619106</v>
      </c>
      <c r="AM88" s="185">
        <v>615876.13100000005</v>
      </c>
      <c r="AN88" s="185">
        <v>656084</v>
      </c>
      <c r="AO88" s="187">
        <v>664882</v>
      </c>
      <c r="AP88" s="187">
        <v>683440</v>
      </c>
      <c r="AQ88" s="185">
        <v>681022</v>
      </c>
      <c r="AR88" s="185">
        <v>714987</v>
      </c>
      <c r="AS88" s="185">
        <v>739029.26699999999</v>
      </c>
      <c r="AT88" s="186">
        <v>736027.43099999998</v>
      </c>
      <c r="AU88" s="185">
        <v>696639.60199999996</v>
      </c>
      <c r="AV88" s="188">
        <f>Z88*Summary!$E$127+Trends!AK88*Summary!$E$128</f>
        <v>27409098.690000001</v>
      </c>
      <c r="AW88" s="186">
        <f>AA88*Summary!$E$127+Trends!AL88*Summary!$E$128</f>
        <v>27294072.940000001</v>
      </c>
      <c r="AX88" s="186">
        <f>AB88*Summary!$E$127+Trends!AM88*Summary!$E$128</f>
        <v>27217137.074890003</v>
      </c>
      <c r="AY88" s="186">
        <f>AC88*Summary!$E$127+Trends!AN88*Summary!$E$128</f>
        <v>27945217.66</v>
      </c>
      <c r="AZ88" s="186">
        <f>AD88*Summary!$E$127+Trends!AO88*Summary!$E$128</f>
        <v>28425929.18</v>
      </c>
      <c r="BA88" s="186">
        <f>AE88*Summary!$E$127+Trends!AP88*Summary!$E$128</f>
        <v>28509200.600000001</v>
      </c>
      <c r="BB88" s="186">
        <f>AF88*Summary!$E$127+Trends!AQ88*Summary!$E$128</f>
        <v>28495795.879999999</v>
      </c>
      <c r="BC88" s="186">
        <f>AG88*Summary!$E$127+Trends!AR88*Summary!$E$128</f>
        <v>28906467.553836659</v>
      </c>
      <c r="BD88" s="186">
        <f>AH88*Summary!$E$127+Trends!AS88*Summary!$E$128</f>
        <v>30165281.002518959</v>
      </c>
      <c r="BE88" s="186">
        <f>AI88*Summary!$E$127+Trends!AT88*Summary!$E$128</f>
        <v>30272701.521741942</v>
      </c>
      <c r="BF88" s="186">
        <f>AJ88*Summary!$E$127+Trends!AU88*Summary!$E$128</f>
        <v>24821470.010809153</v>
      </c>
      <c r="BG88" s="188"/>
      <c r="BH88" s="186">
        <f t="shared" si="4"/>
        <v>12596347.196601534</v>
      </c>
      <c r="BI88" s="186">
        <f t="shared" si="5"/>
        <v>16166302.062702743</v>
      </c>
      <c r="BJ88" s="186">
        <f t="shared" si="6"/>
        <v>16576846.300661208</v>
      </c>
      <c r="BK88" s="186">
        <f t="shared" si="7"/>
        <v>16945595.186033886</v>
      </c>
      <c r="BL88" s="186">
        <f t="shared" si="8"/>
        <v>17038122.860612214</v>
      </c>
      <c r="BM88" s="186">
        <f t="shared" si="9"/>
        <v>17116474.53161943</v>
      </c>
      <c r="BN88" s="186">
        <f t="shared" si="10"/>
        <v>17396957.482947715</v>
      </c>
      <c r="BO88" s="186">
        <f t="shared" si="11"/>
        <v>18207893.840044312</v>
      </c>
      <c r="BP88" s="186">
        <f t="shared" si="12"/>
        <v>18265770.664625738</v>
      </c>
      <c r="BQ88" s="189">
        <f t="shared" si="13"/>
        <v>14786172.46198431</v>
      </c>
      <c r="BR88" s="185"/>
    </row>
    <row r="89" spans="3:70" s="109" customFormat="1" hidden="1">
      <c r="C89" s="194" t="s">
        <v>100</v>
      </c>
      <c r="D89" s="181">
        <v>19203.03357485</v>
      </c>
      <c r="E89" s="190">
        <v>18963.126</v>
      </c>
      <c r="F89" s="190">
        <v>19225.785613740001</v>
      </c>
      <c r="G89" s="182">
        <v>19232.347429999998</v>
      </c>
      <c r="H89" s="190">
        <v>19117.490470299999</v>
      </c>
      <c r="I89" s="190">
        <v>19826.642950000001</v>
      </c>
      <c r="J89" s="182">
        <v>19539.44269</v>
      </c>
      <c r="K89" s="182">
        <v>19072.335450000002</v>
      </c>
      <c r="L89" s="182">
        <v>19447.323210000002</v>
      </c>
      <c r="M89" s="182">
        <v>19076.559669999999</v>
      </c>
      <c r="N89" s="182">
        <v>16054.14025</v>
      </c>
      <c r="O89" s="183"/>
      <c r="P89" s="190">
        <v>9226.5529999999999</v>
      </c>
      <c r="Q89" s="190">
        <v>10267.54684854</v>
      </c>
      <c r="R89" s="182">
        <v>10492.425940000001</v>
      </c>
      <c r="S89" s="190">
        <v>10448.107388749999</v>
      </c>
      <c r="T89" s="190">
        <v>10481.09209</v>
      </c>
      <c r="U89" s="182">
        <v>10468.961719999999</v>
      </c>
      <c r="V89" s="182">
        <v>10287.565630000001</v>
      </c>
      <c r="W89" s="182">
        <v>10666.41303</v>
      </c>
      <c r="X89" s="182">
        <v>10488.860140000001</v>
      </c>
      <c r="Y89" s="182">
        <v>8521.2564000000002</v>
      </c>
      <c r="Z89" s="184">
        <v>843909</v>
      </c>
      <c r="AA89" s="185">
        <v>808962</v>
      </c>
      <c r="AB89" s="185">
        <v>795327</v>
      </c>
      <c r="AC89" s="185">
        <v>774677</v>
      </c>
      <c r="AD89" s="185">
        <v>806759</v>
      </c>
      <c r="AE89" s="185">
        <v>758811</v>
      </c>
      <c r="AF89" s="185">
        <v>779194</v>
      </c>
      <c r="AG89" s="185">
        <v>754738.00343388645</v>
      </c>
      <c r="AH89" s="185">
        <v>796343.61719999369</v>
      </c>
      <c r="AI89" s="186">
        <v>791672</v>
      </c>
      <c r="AJ89" s="195">
        <v>665085.36832185346</v>
      </c>
      <c r="AK89" s="184">
        <v>288595.50599999994</v>
      </c>
      <c r="AL89" s="185">
        <v>283645</v>
      </c>
      <c r="AM89" s="185">
        <v>294785.804</v>
      </c>
      <c r="AN89" s="185">
        <v>287130</v>
      </c>
      <c r="AO89" s="187">
        <v>273510</v>
      </c>
      <c r="AP89" s="187">
        <v>316995</v>
      </c>
      <c r="AQ89" s="185">
        <v>286337</v>
      </c>
      <c r="AR89" s="185">
        <v>400740</v>
      </c>
      <c r="AS89" s="185">
        <v>516406.98300000001</v>
      </c>
      <c r="AT89" s="186">
        <v>508187</v>
      </c>
      <c r="AU89" s="185">
        <v>394861.35800000001</v>
      </c>
      <c r="AV89" s="188">
        <f>Z89*Summary!$E$127+Trends!AK89*Summary!$E$128</f>
        <v>9776451.1061399989</v>
      </c>
      <c r="AW89" s="186">
        <f>AA89*Summary!$E$127+Trends!AL89*Summary!$E$128</f>
        <v>9442934.75</v>
      </c>
      <c r="AX89" s="186">
        <f>AB89*Summary!$E$127+Trends!AM89*Summary!$E$128</f>
        <v>9446016.0427599996</v>
      </c>
      <c r="AY89" s="186">
        <f>AC89*Summary!$E$127+Trends!AN89*Summary!$E$128</f>
        <v>9200738.4000000004</v>
      </c>
      <c r="AZ89" s="186">
        <f>AD89*Summary!$E$127+Trends!AO89*Summary!$E$128</f>
        <v>9321814.7999999989</v>
      </c>
      <c r="BA89" s="186">
        <f>AE89*Summary!$E$127+Trends!AP89*Summary!$E$128</f>
        <v>9376548.1499999985</v>
      </c>
      <c r="BB89" s="186">
        <f>AF89*Summary!$E$127+Trends!AQ89*Summary!$E$128</f>
        <v>9229245.4299999997</v>
      </c>
      <c r="BC89" s="186">
        <f>AG89*Summary!$E$127+Trends!AR89*Summary!$E$128</f>
        <v>10196918.42781448</v>
      </c>
      <c r="BD89" s="186">
        <f>AH89*Summary!$E$127+Trends!AS89*Summary!$E$128</f>
        <v>11712570.456089949</v>
      </c>
      <c r="BE89" s="186">
        <f>AI89*Summary!$E$127+Trends!AT89*Summary!$E$128</f>
        <v>11590968.729999999</v>
      </c>
      <c r="BF89" s="186">
        <f>AJ89*Summary!$E$127+Trends!AU89*Summary!$E$128</f>
        <v>9410828.7214270122</v>
      </c>
      <c r="BG89" s="188"/>
      <c r="BH89" s="186">
        <f t="shared" si="4"/>
        <v>4594481.8352426039</v>
      </c>
      <c r="BI89" s="186">
        <f t="shared" si="5"/>
        <v>5044652.7491591908</v>
      </c>
      <c r="BJ89" s="186">
        <f t="shared" si="6"/>
        <v>5019567.5076422077</v>
      </c>
      <c r="BK89" s="186">
        <f t="shared" si="7"/>
        <v>5094566.2685041064</v>
      </c>
      <c r="BL89" s="186">
        <f t="shared" si="8"/>
        <v>4956787.939052945</v>
      </c>
      <c r="BM89" s="186">
        <f t="shared" si="9"/>
        <v>4944901.3794341199</v>
      </c>
      <c r="BN89" s="186">
        <f t="shared" si="10"/>
        <v>5500189.9387155483</v>
      </c>
      <c r="BO89" s="186">
        <f t="shared" si="11"/>
        <v>6424077.636730493</v>
      </c>
      <c r="BP89" s="186">
        <f t="shared" si="12"/>
        <v>6373059.5033482481</v>
      </c>
      <c r="BQ89" s="189">
        <f t="shared" si="13"/>
        <v>4995103.0215874529</v>
      </c>
      <c r="BR89" s="185"/>
    </row>
    <row r="90" spans="3:70" s="109" customFormat="1" hidden="1">
      <c r="C90" s="194" t="s">
        <v>101</v>
      </c>
      <c r="D90" s="181">
        <v>59420.26642702501</v>
      </c>
      <c r="E90" s="190">
        <v>54401.928999999996</v>
      </c>
      <c r="F90" s="190">
        <v>59087.299886351997</v>
      </c>
      <c r="G90" s="190">
        <v>59486.150430000009</v>
      </c>
      <c r="H90" s="190">
        <v>60053.380391945007</v>
      </c>
      <c r="I90" s="190">
        <v>62073.368220000004</v>
      </c>
      <c r="J90" s="190">
        <v>64046.406580000003</v>
      </c>
      <c r="K90" s="190">
        <v>65323.709269999999</v>
      </c>
      <c r="L90" s="190">
        <v>65885.434949999995</v>
      </c>
      <c r="M90" s="190">
        <v>66347.623860000007</v>
      </c>
      <c r="N90" s="190">
        <v>57599.941050000001</v>
      </c>
      <c r="O90" s="183"/>
      <c r="P90" s="190">
        <v>25788.996999999999</v>
      </c>
      <c r="Q90" s="190">
        <v>32465.732925851997</v>
      </c>
      <c r="R90" s="190">
        <v>31987.487639999999</v>
      </c>
      <c r="S90" s="190">
        <v>32022.261208850003</v>
      </c>
      <c r="T90" s="190">
        <v>32034.723180000001</v>
      </c>
      <c r="U90" s="190">
        <v>33282.581040000005</v>
      </c>
      <c r="V90" s="190">
        <v>34045.874980000001</v>
      </c>
      <c r="W90" s="190">
        <v>34326.088369999998</v>
      </c>
      <c r="X90" s="190">
        <v>34259.79363</v>
      </c>
      <c r="Y90" s="190">
        <v>29210.074140000001</v>
      </c>
      <c r="Z90" s="184">
        <v>2504102</v>
      </c>
      <c r="AA90" s="185">
        <v>2431804</v>
      </c>
      <c r="AB90" s="185">
        <v>2406501</v>
      </c>
      <c r="AC90" s="185">
        <v>2369479</v>
      </c>
      <c r="AD90" s="185">
        <v>2548070.9515263764</v>
      </c>
      <c r="AE90" s="185">
        <v>2407246</v>
      </c>
      <c r="AF90" s="185">
        <v>2420170</v>
      </c>
      <c r="AG90" s="185">
        <v>2389970.5050362353</v>
      </c>
      <c r="AH90" s="185">
        <v>2556677.1904493729</v>
      </c>
      <c r="AI90" s="186">
        <v>2461020.4707369874</v>
      </c>
      <c r="AJ90" s="185">
        <v>2153516.3213944999</v>
      </c>
      <c r="AK90" s="184">
        <v>715341.63</v>
      </c>
      <c r="AL90" s="185">
        <v>695491</v>
      </c>
      <c r="AM90" s="185">
        <v>754157.65200000012</v>
      </c>
      <c r="AN90" s="185">
        <v>728305</v>
      </c>
      <c r="AO90" s="187">
        <v>802010</v>
      </c>
      <c r="AP90" s="187">
        <v>804858</v>
      </c>
      <c r="AQ90" s="185">
        <v>807973</v>
      </c>
      <c r="AR90" s="185">
        <v>803526</v>
      </c>
      <c r="AS90" s="185">
        <v>868635.50699999998</v>
      </c>
      <c r="AT90" s="186">
        <v>863777.68099999998</v>
      </c>
      <c r="AU90" s="185">
        <v>860324.51199999999</v>
      </c>
      <c r="AV90" s="188">
        <f>Z90*Summary!$E$127+Trends!AK90*Summary!$E$128</f>
        <v>27572557.409699999</v>
      </c>
      <c r="AW90" s="186">
        <f>AA90*Summary!$E$127+Trends!AL90*Summary!$E$128</f>
        <v>26784665.689999998</v>
      </c>
      <c r="AX90" s="186">
        <f>AB90*Summary!$E$127+Trends!AM90*Summary!$E$128</f>
        <v>27177524.573879998</v>
      </c>
      <c r="AY90" s="186">
        <f>AC90*Summary!$E$127+Trends!AN90*Summary!$E$128</f>
        <v>26614207.849999998</v>
      </c>
      <c r="AZ90" s="186">
        <f>AD90*Summary!$E$127+Trends!AO90*Summary!$E$128</f>
        <v>28811856.607363645</v>
      </c>
      <c r="BA90" s="186">
        <f>AE90*Summary!$E$127+Trends!AP90*Summary!$E$128</f>
        <v>27700195.619999997</v>
      </c>
      <c r="BB90" s="186">
        <f>AF90*Summary!$E$127+Trends!AQ90*Summary!$E$128</f>
        <v>27836621.869999997</v>
      </c>
      <c r="BC90" s="186">
        <f>AG90*Summary!$E$127+Trends!AR90*Summary!$E$128</f>
        <v>27546691.030793503</v>
      </c>
      <c r="BD90" s="186">
        <f>AH90*Summary!$E$127+Trends!AS90*Summary!$E$128</f>
        <v>29560481.058969915</v>
      </c>
      <c r="BE90" s="186">
        <f>AI90*Summary!$E$127+Trends!AT90*Summary!$E$128</f>
        <v>28736160.382359598</v>
      </c>
      <c r="BF90" s="186">
        <f>AJ90*Summary!$E$127+Trends!AU90*Summary!$E$128</f>
        <v>26210188.980575446</v>
      </c>
      <c r="BG90" s="188"/>
      <c r="BH90" s="186">
        <f t="shared" si="4"/>
        <v>12697153.866095684</v>
      </c>
      <c r="BI90" s="186">
        <f t="shared" si="5"/>
        <v>14932790.229007745</v>
      </c>
      <c r="BJ90" s="186">
        <f t="shared" si="6"/>
        <v>14311257.973434569</v>
      </c>
      <c r="BK90" s="186">
        <f t="shared" si="7"/>
        <v>15363344.9469679</v>
      </c>
      <c r="BL90" s="186">
        <f t="shared" si="8"/>
        <v>14295472.022293756</v>
      </c>
      <c r="BM90" s="186">
        <f t="shared" si="9"/>
        <v>14465676.885569796</v>
      </c>
      <c r="BN90" s="186">
        <f t="shared" si="10"/>
        <v>14356980.175003508</v>
      </c>
      <c r="BO90" s="186">
        <f t="shared" si="11"/>
        <v>15400910.472245617</v>
      </c>
      <c r="BP90" s="186">
        <f t="shared" si="12"/>
        <v>14838435.306976518</v>
      </c>
      <c r="BQ90" s="189">
        <f t="shared" si="13"/>
        <v>13291707.411322424</v>
      </c>
      <c r="BR90" s="185"/>
    </row>
    <row r="91" spans="3:70" s="109" customFormat="1" ht="17" hidden="1" thickBot="1">
      <c r="C91" s="196" t="s">
        <v>102</v>
      </c>
      <c r="D91" s="197">
        <v>9362.7898244150019</v>
      </c>
      <c r="E91" s="198">
        <v>9244.9060000000009</v>
      </c>
      <c r="F91" s="198">
        <v>9270.9935577059987</v>
      </c>
      <c r="G91" s="198">
        <v>9308.9403899999998</v>
      </c>
      <c r="H91" s="198">
        <v>9457.2830946949998</v>
      </c>
      <c r="I91" s="198">
        <v>9597.0362800000003</v>
      </c>
      <c r="J91" s="198">
        <v>9322.54241</v>
      </c>
      <c r="K91" s="198">
        <v>9784.6652699999995</v>
      </c>
      <c r="L91" s="198">
        <v>10438.44261</v>
      </c>
      <c r="M91" s="198">
        <v>10207.60564</v>
      </c>
      <c r="N91" s="198">
        <v>9800.3198100000009</v>
      </c>
      <c r="O91" s="199"/>
      <c r="P91" s="198">
        <v>4733.2749999999996</v>
      </c>
      <c r="Q91" s="198">
        <v>5268.9860980799995</v>
      </c>
      <c r="R91" s="198">
        <v>5261.4590600000001</v>
      </c>
      <c r="S91" s="198">
        <v>5365.5229636099994</v>
      </c>
      <c r="T91" s="198">
        <v>5489.1676299999999</v>
      </c>
      <c r="U91" s="198">
        <v>5284.6875200000004</v>
      </c>
      <c r="V91" s="198">
        <v>5276.7003800000002</v>
      </c>
      <c r="W91" s="198">
        <v>5464.6778199999999</v>
      </c>
      <c r="X91" s="198">
        <v>5608.1451800000004</v>
      </c>
      <c r="Y91" s="198">
        <v>5203.82809</v>
      </c>
      <c r="Z91" s="200">
        <v>331835</v>
      </c>
      <c r="AA91" s="201">
        <v>315006</v>
      </c>
      <c r="AB91" s="201">
        <v>334026</v>
      </c>
      <c r="AC91" s="201">
        <v>334414</v>
      </c>
      <c r="AD91" s="201">
        <v>331137</v>
      </c>
      <c r="AE91" s="201">
        <v>314096</v>
      </c>
      <c r="AF91" s="201">
        <v>320912</v>
      </c>
      <c r="AG91" s="201">
        <v>315061.39162129036</v>
      </c>
      <c r="AH91" s="201">
        <v>294731</v>
      </c>
      <c r="AI91" s="202">
        <v>293602.72823820991</v>
      </c>
      <c r="AJ91" s="201">
        <v>273102.33955088921</v>
      </c>
      <c r="AK91" s="200">
        <v>348428.96600000007</v>
      </c>
      <c r="AL91" s="201">
        <v>321933</v>
      </c>
      <c r="AM91" s="201">
        <v>363484.46799999999</v>
      </c>
      <c r="AN91" s="201">
        <v>368783</v>
      </c>
      <c r="AO91" s="203">
        <v>365932</v>
      </c>
      <c r="AP91" s="203">
        <v>350388</v>
      </c>
      <c r="AQ91" s="201">
        <v>338833</v>
      </c>
      <c r="AR91" s="201">
        <v>326837</v>
      </c>
      <c r="AS91" s="201">
        <v>356140.288</v>
      </c>
      <c r="AT91" s="202">
        <v>368809.90600000002</v>
      </c>
      <c r="AU91" s="201">
        <v>351231.05099999998</v>
      </c>
      <c r="AV91" s="204">
        <f>Z91*Summary!$E$127+Trends!AK91*Summary!$E$128</f>
        <v>6238354.6635400001</v>
      </c>
      <c r="AW91" s="202">
        <f>AA91*Summary!$E$127+Trends!AL91*Summary!$E$128</f>
        <v>5832045.8700000001</v>
      </c>
      <c r="AX91" s="202">
        <f>AB91*Summary!$E$127+Trends!AM91*Summary!$E$128</f>
        <v>6409517.3289199993</v>
      </c>
      <c r="AY91" s="202">
        <f>AC91*Summary!$E$127+Trends!AN91*Summary!$E$128</f>
        <v>6466652.1699999999</v>
      </c>
      <c r="AZ91" s="202">
        <f>AD91*Summary!$E$127+Trends!AO91*Summary!$E$128</f>
        <v>6411056.7799999993</v>
      </c>
      <c r="BA91" s="202">
        <f>AE91*Summary!$E$127+Trends!AP91*Summary!$E$128</f>
        <v>6114631.3200000003</v>
      </c>
      <c r="BB91" s="202">
        <f>AF91*Summary!$E$127+Trends!AQ91*Summary!$E$128</f>
        <v>6052095.4699999997</v>
      </c>
      <c r="BC91" s="202">
        <f>AG91*Summary!$E$127+Trends!AR91*Summary!$E$128</f>
        <v>5882466.3021324519</v>
      </c>
      <c r="BD91" s="202">
        <f>AH91*Summary!$E$127+Trends!AS91*Summary!$E$128</f>
        <v>6016390.6347199995</v>
      </c>
      <c r="BE91" s="202">
        <f>AI91*Summary!$E$127+Trends!AT91*Summary!$E$128</f>
        <v>6136355.0408695005</v>
      </c>
      <c r="BF91" s="202">
        <f>AJ91*Summary!$E$127+Trends!AU91*Summary!$E$128</f>
        <v>5791173.3600522019</v>
      </c>
      <c r="BG91" s="204"/>
      <c r="BH91" s="202">
        <f t="shared" si="4"/>
        <v>2985933.758041915</v>
      </c>
      <c r="BI91" s="202">
        <f t="shared" si="5"/>
        <v>3642722.5939998105</v>
      </c>
      <c r="BJ91" s="202">
        <f t="shared" si="6"/>
        <v>3654983.7277145954</v>
      </c>
      <c r="BK91" s="202">
        <f t="shared" si="7"/>
        <v>3637267.9161305088</v>
      </c>
      <c r="BL91" s="202">
        <f t="shared" si="8"/>
        <v>3497354.3218832319</v>
      </c>
      <c r="BM91" s="202">
        <f t="shared" si="9"/>
        <v>3430762.9821935599</v>
      </c>
      <c r="BN91" s="202">
        <f t="shared" si="10"/>
        <v>3172312.114443901</v>
      </c>
      <c r="BO91" s="202">
        <f t="shared" si="11"/>
        <v>3149668.7471858505</v>
      </c>
      <c r="BP91" s="202">
        <f t="shared" si="12"/>
        <v>3371365.5443707947</v>
      </c>
      <c r="BQ91" s="205">
        <f t="shared" si="13"/>
        <v>3075029.3040793459</v>
      </c>
      <c r="BR91" s="185"/>
    </row>
    <row r="92" spans="3:70" s="109" customFormat="1" ht="17" hidden="1" thickBot="1">
      <c r="D92" s="216"/>
      <c r="E92" s="216"/>
      <c r="F92" s="216"/>
      <c r="G92" s="216"/>
      <c r="H92" s="216"/>
      <c r="I92" s="216"/>
      <c r="J92" s="216"/>
      <c r="K92" s="216"/>
      <c r="L92" s="216"/>
      <c r="M92" s="216"/>
      <c r="AD92" s="206"/>
      <c r="AO92" s="207"/>
    </row>
    <row r="93" spans="3:70" s="109" customFormat="1" hidden="1">
      <c r="C93" s="212" t="s">
        <v>142</v>
      </c>
      <c r="D93" s="210"/>
      <c r="E93" s="211"/>
      <c r="M93" s="217"/>
    </row>
    <row r="94" spans="3:70" s="109" customFormat="1" hidden="1">
      <c r="C94" s="118" t="s">
        <v>155</v>
      </c>
      <c r="E94" s="208"/>
      <c r="M94" s="218"/>
    </row>
    <row r="95" spans="3:70" s="109" customFormat="1" hidden="1">
      <c r="C95" s="118" t="s">
        <v>156</v>
      </c>
      <c r="E95" s="208"/>
      <c r="M95" s="218"/>
    </row>
    <row r="96" spans="3:70" s="109" customFormat="1" hidden="1">
      <c r="C96" s="118" t="s">
        <v>16</v>
      </c>
      <c r="E96" s="208"/>
    </row>
    <row r="97" spans="3:5" s="109" customFormat="1" hidden="1">
      <c r="C97" s="118" t="s">
        <v>17</v>
      </c>
      <c r="E97" s="208"/>
    </row>
    <row r="98" spans="3:5" s="109" customFormat="1" hidden="1">
      <c r="C98" s="118" t="s">
        <v>140</v>
      </c>
      <c r="E98" s="208"/>
    </row>
    <row r="99" spans="3:5" s="109" customFormat="1" ht="17" hidden="1" thickBot="1">
      <c r="C99" s="121" t="s">
        <v>141</v>
      </c>
      <c r="D99" s="122"/>
      <c r="E99" s="209"/>
    </row>
    <row r="100" spans="3:5" s="109" customFormat="1" hidden="1"/>
  </sheetData>
  <sheetProtection sheet="1" objects="1" scenarios="1"/>
  <mergeCells count="7">
    <mergeCell ref="C3:D3"/>
    <mergeCell ref="D7:E7"/>
    <mergeCell ref="N7:O7"/>
    <mergeCell ref="D9:E9"/>
    <mergeCell ref="D11:E11"/>
    <mergeCell ref="N9:O9"/>
    <mergeCell ref="N11:O11"/>
  </mergeCells>
  <dataValidations count="2">
    <dataValidation type="list" allowBlank="1" showInputMessage="1" showErrorMessage="1" sqref="D7 N7" xr:uid="{55DA4961-D595-5944-87BB-047035FE4F45}">
      <formula1>$C$41:$C$91</formula1>
    </dataValidation>
    <dataValidation type="list" allowBlank="1" showInputMessage="1" showErrorMessage="1" sqref="D11 N11 N9 D9" xr:uid="{A005CA35-F751-8D4D-9E40-199D9A2859C5}">
      <formula1>$C$94:$C$99</formula1>
    </dataValidation>
  </dataValidations>
  <pageMargins left="0.7" right="0.7" top="0.75" bottom="0.75" header="0.3" footer="0.3"/>
  <pageSetup orientation="portrait" horizontalDpi="0" verticalDpi="0"/>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vt:lpstr>
      <vt:lpstr>Sensitivity</vt:lpstr>
      <vt:lpstr>Trends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Robert</dc:creator>
  <cp:lastModifiedBy>Bill Robert</cp:lastModifiedBy>
  <dcterms:created xsi:type="dcterms:W3CDTF">2022-07-11T15:56:54Z</dcterms:created>
  <dcterms:modified xsi:type="dcterms:W3CDTF">2022-10-11T14:26:09Z</dcterms:modified>
</cp:coreProperties>
</file>